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-3420" yWindow="1680" windowWidth="38320" windowHeight="21140" tabRatio="833" firstSheet="1" activeTab="6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D52" i="15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D22" i="15"/>
  <c r="E22" i="15"/>
  <c r="C9" i="15" a="1"/>
  <c r="C22" i="12"/>
  <c r="D22" i="12"/>
  <c r="E22" i="12"/>
  <c r="F22" i="12"/>
  <c r="B9" i="12" a="1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C9" i="15"/>
  <c r="F17" i="15"/>
  <c r="G17" i="15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E17" i="15"/>
  <c r="D17" i="15"/>
  <c r="C17" i="15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1" i="9"/>
  <c r="D23" i="9"/>
  <c r="B10" i="9"/>
  <c r="E18" i="9"/>
  <c r="E17" i="12"/>
  <c r="D18" i="9"/>
  <c r="D17" i="12"/>
  <c r="B18" i="9"/>
  <c r="B17" i="12"/>
  <c r="F18" i="9"/>
  <c r="F17" i="12"/>
  <c r="C18" i="9"/>
  <c r="C17" i="12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<sst xmlns="http://schemas.openxmlformats.org/spreadsheetml/2006/main" count="554" uniqueCount="352">
  <si>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</si>
  <si>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</si>
  <si>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</si>
  <si>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</si>
  <si>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</si>
  <si>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</si>
  <si>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</si>
  <si>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</si>
  <si>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</si>
  <si>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</si>
  <si>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</si>
  <si>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</si>
  <si>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</si>
  <si>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</si>
  <si>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</si>
  <si>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</si>
  <si>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</si>
  <si>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</si>
  <si>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</si>
  <si>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</si>
  <si>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</si>
  <si>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</si>
  <si>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</si>
  <si>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</si>
  <si>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</si>
  <si>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</si>
  <si>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</si>
  <si>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</si>
  <si>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</si>
  <si>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</si>
  <si>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</si>
  <si>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</si>
  <si>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</si>
  <si>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</si>
  <si>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</si>
  <si>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</si>
  <si>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</si>
  <si>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</si>
  <si>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</si>
  <si>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</si>
  <si>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</si>
  <si>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</si>
  <si>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</si>
  <si>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</si>
  <si>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</si>
  <si>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</si>
  <si>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</si>
  <si>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</si>
  <si>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</si>
  <si>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</si>
  <si>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</si>
  <si>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</si>
  <si>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</si>
  <si>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</si>
  <si>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</si>
  <si>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</si>
  <si>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</si>
  <si>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</si>
  <si>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</si>
  <si>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</si>
  <si>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</si>
  <si>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</si>
  <si>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</si>
  <si>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</si>
  <si>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</si>
  <si>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</si>
  <si>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</si>
  <si>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</si>
  <si>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</si>
  <si>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</si>
  <si>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</si>
  <si>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</si>
  <si>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</si>
  <si>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</si>
  <si>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</si>
  <si>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</si>
  <si>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</si>
  <si>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</si>
  <si>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</si>
  <si>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</si>
  <si>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</si>
  <si>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</si>
  <si>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</si>
  <si>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</si>
  <si>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</si>
  <si>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</si>
  <si>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</si>
  <si>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</si>
  <si>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</si>
  <si>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</si>
  <si>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</si>
  <si>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</si>
  <si>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</si>
  <si>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</si>
  <si>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</si>
  <si>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</si>
  <si>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</si>
  <si>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</si>
  <si>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</si>
  <si>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</si>
  <si>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</si>
  <si>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</si>
  <si>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</si>
  <si>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</si>
  <si>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</si>
  <si>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</si>
  <si>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</si>
  <si>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</si>
  <si>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</si>
  <si>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</si>
  <si>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</si>
  <si>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</si>
  <si>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</si>
  <si>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</si>
  <si>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</si>
  <si>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</si>
  <si>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</si>
  <si>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</si>
  <si>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</si>
  <si>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</si>
  <si>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</si>
  <si>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</si>
  <si>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</si>
  <si>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</si>
  <si>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</si>
  <si>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</si>
  <si>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</si>
  <si>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</si>
  <si>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</si>
  <si>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</si>
  <si>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</si>
  <si>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</si>
  <si>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</si>
  <si>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</si>
  <si>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</si>
  <si>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</si>
  <si>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</si>
  <si>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</si>
  <si>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</si>
  <si>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</si>
  <si>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</si>
  <si>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</si>
  <si>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</si>
  <si>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</si>
  <si>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</si>
  <si>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</si>
  <si>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</si>
  <si>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</si>
  <si>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</si>
  <si>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</si>
  <si>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</si>
  <si>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</si>
  <si>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</si>
  <si>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</si>
  <si>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</si>
  <si>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</si>
  <si>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</si>
  <si>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</si>
  <si>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</si>
  <si>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</si>
  <si>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</si>
  <si>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</si>
  <si>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</si>
  <si>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</si>
  <si>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</si>
  <si>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</si>
  <si>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</si>
  <si>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</si>
  <si>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</si>
  <si>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</si>
  <si>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</si>
  <si>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</si>
  <si>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</si>
  <si>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</si>
  <si>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</si>
  <si>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</si>
  <si>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</si>
  <si>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</si>
  <si>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</si>
  <si>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</si>
  <si>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</si>
  <si>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</si>
  <si>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</si>
  <si>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</si>
  <si>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</si>
  <si>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</si>
  <si>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</si>
  <si>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</si>
  <si>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</si>
  <si>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</si>
  <si>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</si>
  <si>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</si>
  <si>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</si>
  <si>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</si>
  <si>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</si>
  <si>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</si>
  <si>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</si>
  <si>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</si>
  <si>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</si>
  <si>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</si>
  <si>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</si>
  <si>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</si>
  <si>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</si>
  <si>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</si>
  <si>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</si>
  <si>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</si>
  <si>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</si>
  <si>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</si>
  <si>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</si>
  <si>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</si>
  <si>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</si>
  <si>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</si>
  <si>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</si>
  <si>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</si>
  <si>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</si>
  <si>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</si>
  <si>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</si>
  <si>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</si>
  <si>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</si>
  <si>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</si>
  <si>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</si>
  <si>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</si>
  <si>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</si>
  <si>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</si>
  <si>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</si>
  <si>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</si>
  <si>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</si>
  <si>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</si>
  <si>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</si>
  <si>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</si>
  <si>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</si>
  <si>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</si>
  <si>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</si>
  <si>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</si>
  <si>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</si>
  <si>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</si>
  <si>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</si>
  <si>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</si>
  <si>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</si>
  <si>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</si>
  <si>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</si>
  <si>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</si>
  <si>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</si>
  <si>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</si>
  <si>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</si>
  <si>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</si>
  <si>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</si>
  <si>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</si>
  <si>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</si>
  <si>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</si>
  <si>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</si>
  <si>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</si>
  <si>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</si>
  <si>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</si>
  <si>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</si>
  <si>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</si>
  <si>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</si>
  <si>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</si>
  <si>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</si>
  <si>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</si>
  <si>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</si>
  <si>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</si>
  <si>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</si>
  <si>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</si>
  <si>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</si>
  <si>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</si>
  <si>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</si>
  <si>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</si>
  <si>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</si>
  <si>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</si>
  <si>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</si>
  <si>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</si>
  <si>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</si>
  <si>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</si>
  <si>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</si>
  <si>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</si>
  <si>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</si>
  <si>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</si>
  <si>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</si>
  <si>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</si>
  <si>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</si>
  <si>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</si>
  <si>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</si>
  <si>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</si>
  <si>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</si>
  <si>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</si>
  <si>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</si>
  <si>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</si>
  <si>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</si>
  <si>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</si>
  <si>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</si>
  <si>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</si>
  <si>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</si>
  <si>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</si>
  <si>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</si>
  <si>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</si>
  <si>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</si>
  <si>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</si>
  <si>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</si>
  <si>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</si>
  <si>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</si>
  <si>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</si>
  <si>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</si>
  <si>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</si>
  <si>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</si>
  <si>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</si>
  <si>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</si>
  <si>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</si>
  <si>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</si>
  <si>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</si>
  <si>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</si>
  <si>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</si>
  <si>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</si>
  <si>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</si>
  <si>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</si>
  <si>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</si>
  <si>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</si>
  <si>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</si>
  <si>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</si>
  <si>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</si>
  <si>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</si>
  <si>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</si>
  <si>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</si>
  <si>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</si>
  <si>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</si>
  <si>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</si>
  <si>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</si>
  <si>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</si>
  <si>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</si>
  <si>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</si>
  <si>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</si>
  <si>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</si>
  <si>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</si>
  <si>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</si>
  <si>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</si>
  <si>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</si>
  <si>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</si>
  <si>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</si>
  <si>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</si>
  <si>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</si>
  <si>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</si>
  <si>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</si>
  <si>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</si>
  <si>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</si>
  <si>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Octanol</t>
  </si>
  <si>
    <t>Drug</t>
  </si>
  <si>
    <t>none</t>
  </si>
  <si>
    <t>ethyl benzene</t>
  </si>
  <si>
    <t>Methanol</t>
  </si>
  <si>
    <t>C6H12</t>
  </si>
  <si>
    <t>(1) Water</t>
  </si>
  <si>
    <t>(2) 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</si>
</sst>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066072"/>
        <c:axId val="2088075560"/>
      </c:scatterChart>
      <c:valAx>
        <c:axId val="208806607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75560"/>
        <c:crosses val="autoZero"/>
        <c:crossBetween val="midCat"/>
      </c:valAx>
      <c:valAx>
        <c:axId val="208807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6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54696"/>
        <c:axId val="2088162872"/>
      </c:scatterChart>
      <c:valAx>
        <c:axId val="20881546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62872"/>
        <c:crosses val="autoZero"/>
        <c:crossBetween val="midCat"/>
      </c:valAx>
      <c:valAx>
        <c:axId val="2088162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5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04840"/>
        <c:axId val="2088212936"/>
      </c:scatterChart>
      <c:valAx>
        <c:axId val="208820484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12936"/>
        <c:crosses val="autoZero"/>
        <c:crossBetween val="midCat"/>
      </c:valAx>
      <c:valAx>
        <c:axId val="2088212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0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4008"/>
        <c:axId val="2088270072"/>
      </c:scatterChart>
      <c:valAx>
        <c:axId val="208826400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70072"/>
        <c:crosses val="autoZero"/>
        <c:crossBetween val="midCat"/>
      </c:valAx>
      <c:valAx>
        <c:axId val="208827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43256"/>
        <c:axId val="2088450296"/>
      </c:scatterChart>
      <c:valAx>
        <c:axId val="208844325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50296"/>
        <c:crossesAt val="-0.2"/>
        <c:crossBetween val="midCat"/>
        <c:majorUnit val="0.1"/>
        <c:minorUnit val="0.05"/>
      </c:valAx>
      <c:valAx>
        <c:axId val="208845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432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93928"/>
        <c:axId val="2088500296"/>
      </c:scatterChart>
      <c:valAx>
        <c:axId val="208849392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500296"/>
        <c:crosses val="autoZero"/>
        <c:crossBetween val="midCat"/>
        <c:majorUnit val="0.1"/>
        <c:minorUnit val="0.05"/>
      </c:valAx>
      <c:valAx>
        <c:axId val="208850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93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306</v>
      </c>
      <c r="C12" s="1" t="s">
        <v>309</v>
      </c>
    </row>
    <row r="14" spans="2:3">
      <c r="B14" s="1" t="s">
        <v>307</v>
      </c>
      <c r="C14" s="1" t="s">
        <v>308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240</v>
      </c>
      <c r="C20" s="1" t="s">
        <v>241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238</v>
      </c>
      <c r="C27" s="1" t="s">
        <v>239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343</v>
      </c>
    </row>
    <row r="38" spans="2:2">
      <c r="B38" s="1" t="s">
        <v>304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C1" sqref="C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249</v>
      </c>
      <c r="C4" s="7"/>
      <c r="D4" s="8" t="s">
        <v>250</v>
      </c>
      <c r="E4" s="9" t="s">
        <v>251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254</v>
      </c>
    </row>
    <row r="2" spans="1:17" s="155" customFormat="1">
      <c r="A2" s="155" t="s">
        <v>256</v>
      </c>
    </row>
    <row r="3" spans="1:17" s="155" customFormat="1">
      <c r="A3" s="155" t="s">
        <v>257</v>
      </c>
    </row>
    <row r="4" spans="1:17" s="155" customFormat="1">
      <c r="A4" s="155" t="s">
        <v>258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192</v>
      </c>
    </row>
    <row r="9" spans="1:17" s="155" customFormat="1" ht="14">
      <c r="A9" s="163" t="s">
        <v>193</v>
      </c>
      <c r="B9" s="173"/>
      <c r="C9" s="173"/>
      <c r="D9" s="174" t="s">
        <v>150</v>
      </c>
      <c r="E9" s="174" t="s">
        <v>126</v>
      </c>
      <c r="F9" s="174" t="s">
        <v>127</v>
      </c>
      <c r="G9" s="173"/>
      <c r="H9" s="173" t="s">
        <v>195</v>
      </c>
      <c r="I9" s="173"/>
      <c r="J9" s="175" t="s">
        <v>196</v>
      </c>
      <c r="K9" s="176"/>
    </row>
    <row r="10" spans="1:17" s="155" customFormat="1">
      <c r="A10" s="164">
        <v>1</v>
      </c>
      <c r="B10" s="165" t="s">
        <v>166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149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255</v>
      </c>
    </row>
    <row r="13" spans="1:17">
      <c r="A13" s="161" t="s">
        <v>259</v>
      </c>
      <c r="H13" s="156" t="s">
        <v>207</v>
      </c>
      <c r="I13" s="161">
        <v>760</v>
      </c>
      <c r="J13" s="156" t="s">
        <v>208</v>
      </c>
    </row>
    <row r="14" spans="1:17">
      <c r="A14" s="168" t="s">
        <v>50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197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194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201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202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218</v>
      </c>
    </row>
    <row r="23" spans="1:16">
      <c r="A23" s="168" t="s">
        <v>50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204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205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203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206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252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253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209</v>
      </c>
    </row>
    <row r="31" spans="1:16" ht="14">
      <c r="A31" s="180" t="s">
        <v>216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211</v>
      </c>
      <c r="I32" s="155" t="s">
        <v>210</v>
      </c>
      <c r="K32" s="155"/>
      <c r="L32" s="155"/>
      <c r="M32" s="162" t="s">
        <v>211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212</v>
      </c>
    </row>
    <row r="35" spans="1:18" ht="14">
      <c r="A35" s="168" t="s">
        <v>20</v>
      </c>
      <c r="B35" s="170" t="s">
        <v>200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213</v>
      </c>
    </row>
    <row r="36" spans="1:18" ht="14">
      <c r="A36" s="170" t="s">
        <v>198</v>
      </c>
      <c r="B36" s="168">
        <f>G14*G24-M14*M24</f>
        <v>2.5356984235358482E-4</v>
      </c>
      <c r="C36" s="168">
        <v>0.28420941450762771</v>
      </c>
      <c r="D36" s="155"/>
      <c r="R36" s="156" t="s">
        <v>214</v>
      </c>
    </row>
    <row r="37" spans="1:18" ht="14">
      <c r="A37" s="170" t="s">
        <v>199</v>
      </c>
      <c r="B37" s="168">
        <f>G15*G25-M15*M25</f>
        <v>0</v>
      </c>
      <c r="C37" s="168">
        <v>0.97303263263832951</v>
      </c>
      <c r="D37" s="155"/>
      <c r="R37" s="156" t="s">
        <v>215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217</v>
      </c>
      <c r="I39" s="161">
        <v>-3.3096609259584214E-2</v>
      </c>
    </row>
    <row r="40" spans="1:18">
      <c r="A40" s="168" t="s">
        <v>50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204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205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203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206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252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253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209</v>
      </c>
    </row>
    <row r="48" spans="1:18" ht="14">
      <c r="A48" s="180" t="s">
        <v>216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221</v>
      </c>
    </row>
    <row r="53" spans="1:16">
      <c r="A53" s="156" t="s">
        <v>305</v>
      </c>
    </row>
    <row r="54" spans="1:16" ht="14">
      <c r="A54" s="171" t="s">
        <v>203</v>
      </c>
      <c r="B54" s="171">
        <f>10^($D$10-$E$10/(58.3+$F$10))</f>
        <v>591.28789496549302</v>
      </c>
      <c r="D54" s="172" t="s">
        <v>204</v>
      </c>
      <c r="E54" s="156">
        <f>$I$13/B54</f>
        <v>1.2853298815534737</v>
      </c>
      <c r="G54" s="156" t="s">
        <v>219</v>
      </c>
      <c r="H54" s="156">
        <f>LN(E54)*(1+0.386*LN(E55)/0.614/LN(E54))^2</f>
        <v>1.9847477282664872</v>
      </c>
    </row>
    <row r="55" spans="1:16" ht="14">
      <c r="A55" s="171" t="s">
        <v>206</v>
      </c>
      <c r="B55" s="171">
        <f>10^($D$11-$E$11/(58.3+$F$11))</f>
        <v>368.65078598834526</v>
      </c>
      <c r="D55" s="182" t="s">
        <v>205</v>
      </c>
      <c r="E55" s="156">
        <f>$I$13/B55</f>
        <v>2.0615716251966085</v>
      </c>
      <c r="G55" s="156" t="s">
        <v>220</v>
      </c>
      <c r="H55" s="156">
        <f>LN(E55)*(1+0.614*LN(E54)/0.386/LN(E55))^2</f>
        <v>1.7424010368337413</v>
      </c>
    </row>
    <row r="56" spans="1:16">
      <c r="A56" s="168" t="s">
        <v>50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204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205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203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206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252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253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209</v>
      </c>
    </row>
    <row r="64" spans="1:16" ht="14">
      <c r="A64" s="180" t="s">
        <v>216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330</v>
      </c>
      <c r="F1" s="263" t="s">
        <v>329</v>
      </c>
    </row>
    <row r="2" spans="2:7" ht="14">
      <c r="C2" s="264" t="s">
        <v>334</v>
      </c>
      <c r="D2" s="279">
        <v>200</v>
      </c>
      <c r="F2" s="264" t="s">
        <v>337</v>
      </c>
      <c r="G2" s="263">
        <f>D2/D5</f>
        <v>0.67080328693610602</v>
      </c>
    </row>
    <row r="3" spans="2:7" ht="14">
      <c r="C3" s="264" t="s">
        <v>335</v>
      </c>
      <c r="D3" s="279">
        <v>200</v>
      </c>
      <c r="F3" s="264" t="s">
        <v>338</v>
      </c>
      <c r="G3" s="263">
        <f>D3/D5</f>
        <v>0.67080328693610602</v>
      </c>
    </row>
    <row r="4" spans="2:7" ht="14">
      <c r="C4" s="264" t="s">
        <v>336</v>
      </c>
      <c r="D4" s="279">
        <v>0.2</v>
      </c>
      <c r="F4" s="269" t="s">
        <v>339</v>
      </c>
      <c r="G4" s="263">
        <f>EXP(-D4*G2)</f>
        <v>0.87444956653499373</v>
      </c>
    </row>
    <row r="5" spans="2:7">
      <c r="C5" s="280" t="s">
        <v>331</v>
      </c>
      <c r="D5" s="279">
        <v>298.14999999999998</v>
      </c>
      <c r="F5" s="269" t="s">
        <v>340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332</v>
      </c>
      <c r="E7" s="264" t="s">
        <v>333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310</v>
      </c>
    </row>
    <row r="2" spans="2:14">
      <c r="B2" s="263" t="s">
        <v>311</v>
      </c>
    </row>
    <row r="3" spans="2:14" ht="14">
      <c r="B3" s="264" t="s">
        <v>341</v>
      </c>
    </row>
    <row r="5" spans="2:14">
      <c r="B5" s="265" t="s">
        <v>38</v>
      </c>
      <c r="C5" s="266">
        <v>298.14999999999998</v>
      </c>
    </row>
    <row r="6" spans="2:14">
      <c r="B6" s="265" t="s">
        <v>78</v>
      </c>
      <c r="C6" s="266" t="s">
        <v>312</v>
      </c>
      <c r="D6" s="266" t="s">
        <v>130</v>
      </c>
      <c r="E6" s="266" t="s">
        <v>313</v>
      </c>
      <c r="F6" s="266" t="s">
        <v>167</v>
      </c>
      <c r="G6" s="266" t="s">
        <v>314</v>
      </c>
    </row>
    <row r="7" spans="2:14">
      <c r="B7" s="265" t="s">
        <v>83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315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329</v>
      </c>
    </row>
    <row r="10" spans="2:14">
      <c r="B10" s="263" t="s">
        <v>316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317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318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319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328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320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321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322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323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324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325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326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327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zoomScale="150" zoomScaleNormal="150" zoomScalePageLayoutView="150" workbookViewId="0">
      <selection activeCell="D7" sqref="D7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248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350</v>
      </c>
      <c r="B6" s="27">
        <v>0.92</v>
      </c>
      <c r="C6" s="27">
        <v>1.4</v>
      </c>
      <c r="D6" s="27">
        <f>_q1</f>
        <v>1.4</v>
      </c>
      <c r="E6" s="24">
        <f>5*(_r1-_q1)-(_r1-1)</f>
        <v>-2.3199999999999994</v>
      </c>
      <c r="F6" s="24">
        <f>_l1-_r1*_l2/_r2</f>
        <v>-2.2099818344160838</v>
      </c>
      <c r="H6" s="27">
        <v>-2.0882000000000001</v>
      </c>
      <c r="I6" s="27">
        <v>345.53</v>
      </c>
    </row>
    <row r="7" spans="1:16">
      <c r="A7" s="26" t="s">
        <v>351</v>
      </c>
      <c r="B7" s="27">
        <v>3.2479</v>
      </c>
      <c r="C7" s="27">
        <v>2.8759999999999999</v>
      </c>
      <c r="D7" s="27">
        <f>_q2</f>
        <v>2.8759999999999999</v>
      </c>
      <c r="E7" s="24">
        <f>5*(_r2-_q2)-(_r2-1)</f>
        <v>-0.38839999999999941</v>
      </c>
      <c r="F7" s="24">
        <f>_l2-_r2*_l1/_r1</f>
        <v>7.8019565217391289</v>
      </c>
    </row>
    <row r="8" spans="1:16">
      <c r="B8" s="23" t="s">
        <v>27</v>
      </c>
      <c r="C8" s="28"/>
      <c r="D8" s="17">
        <v>0.05</v>
      </c>
    </row>
    <row r="10" spans="1:16">
      <c r="A10" s="4" t="s">
        <v>50</v>
      </c>
      <c r="B10" s="29" t="s">
        <v>51</v>
      </c>
      <c r="C10" s="29" t="s">
        <v>52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59</v>
      </c>
      <c r="L10" s="4" t="s">
        <v>60</v>
      </c>
      <c r="M10" s="4" t="s">
        <v>61</v>
      </c>
      <c r="N10" s="4" t="s">
        <v>62</v>
      </c>
      <c r="O10" s="4" t="s">
        <v>63</v>
      </c>
      <c r="P10" s="4" t="s">
        <v>64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1.0057668053172291</v>
      </c>
      <c r="F11" s="5">
        <f t="shared" ref="F11:F31" si="2">EXP(-A21../_T)</f>
        <v>0.38616902968096672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1.6428608174956849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5.1699386271668244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1.0057668053172291</v>
      </c>
      <c r="F12" s="5">
        <f t="shared" si="2"/>
        <v>0.38616902968096672</v>
      </c>
      <c r="G12" s="5">
        <f t="shared" si="3"/>
        <v>2.4980372564413676E-2</v>
      </c>
      <c r="H12" s="5">
        <f t="shared" si="4"/>
        <v>0.97501962743558634</v>
      </c>
      <c r="I12" s="5">
        <f t="shared" si="5"/>
        <v>2.4980372564413676E-2</v>
      </c>
      <c r="J12" s="5">
        <f t="shared" si="6"/>
        <v>0.97501962743558634</v>
      </c>
      <c r="K12" s="5">
        <f t="shared" si="7"/>
        <v>1.4689422498127901E-2</v>
      </c>
      <c r="L12" s="5">
        <f t="shared" si="8"/>
        <v>0.98531057750187212</v>
      </c>
      <c r="M12" s="5">
        <f t="shared" ref="M12:M27" si="13">LN(_phi1/_x1)+5*_q1*LN(theta1/_phi1)+_phi2*(_lf1)-_qp1*LN(thetap1+thetap2*_tau21)+thetap2*_qp1*(_tau21/(thetap1+thetap2*_tau21)-_tau12/(thetap2+thetap1*_tau12))</f>
        <v>1.5320769810697639</v>
      </c>
      <c r="N12" s="5">
        <f t="shared" si="9"/>
        <v>2.8546450485527541E-3</v>
      </c>
      <c r="O12" s="5">
        <f t="shared" si="10"/>
        <v>4.6277786560982976</v>
      </c>
      <c r="P12" s="5">
        <f t="shared" si="10"/>
        <v>1.0028587234275808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1.0057668053172291</v>
      </c>
      <c r="F13" s="5">
        <f t="shared" si="2"/>
        <v>0.38616902968096672</v>
      </c>
      <c r="G13" s="5">
        <f t="shared" si="3"/>
        <v>5.1312124321946921E-2</v>
      </c>
      <c r="H13" s="5">
        <f t="shared" si="4"/>
        <v>0.94868787567805302</v>
      </c>
      <c r="I13" s="5">
        <f t="shared" si="5"/>
        <v>5.1312124321946921E-2</v>
      </c>
      <c r="J13" s="5">
        <f t="shared" si="6"/>
        <v>0.94868787567805302</v>
      </c>
      <c r="K13" s="5">
        <f t="shared" si="7"/>
        <v>3.0512982942579214E-2</v>
      </c>
      <c r="L13" s="5">
        <f t="shared" si="8"/>
        <v>0.9694870170574208</v>
      </c>
      <c r="M13" s="5">
        <f t="shared" si="13"/>
        <v>1.4237361456027007</v>
      </c>
      <c r="N13" s="5">
        <f t="shared" si="9"/>
        <v>1.1655844819166764E-2</v>
      </c>
      <c r="O13" s="5">
        <f t="shared" si="10"/>
        <v>4.1526062351708095</v>
      </c>
      <c r="P13" s="5">
        <f t="shared" si="10"/>
        <v>1.0117240388739435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1.0057668053172291</v>
      </c>
      <c r="F14" s="5">
        <f t="shared" si="2"/>
        <v>0.38616902968096672</v>
      </c>
      <c r="G14" s="5">
        <f t="shared" si="3"/>
        <v>7.910796353499587E-2</v>
      </c>
      <c r="H14" s="5">
        <f t="shared" si="4"/>
        <v>0.92089203646500417</v>
      </c>
      <c r="I14" s="5">
        <f t="shared" si="5"/>
        <v>7.910796353499587E-2</v>
      </c>
      <c r="J14" s="5">
        <f t="shared" si="6"/>
        <v>0.92089203646500417</v>
      </c>
      <c r="K14" s="5">
        <f t="shared" si="7"/>
        <v>4.7607301856167322E-2</v>
      </c>
      <c r="L14" s="5">
        <f t="shared" si="8"/>
        <v>0.95239269814383276</v>
      </c>
      <c r="M14" s="5">
        <f t="shared" si="13"/>
        <v>1.3177687704704288</v>
      </c>
      <c r="N14" s="5">
        <f t="shared" si="9"/>
        <v>2.6814260804274549E-2</v>
      </c>
      <c r="O14" s="5">
        <f t="shared" si="10"/>
        <v>3.7350782561126996</v>
      </c>
      <c r="P14" s="5">
        <f t="shared" si="10"/>
        <v>1.0271769980145988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1.0057668053172291</v>
      </c>
      <c r="F15" s="5">
        <f t="shared" si="2"/>
        <v>0.38616902968096672</v>
      </c>
      <c r="G15" s="5">
        <f t="shared" si="3"/>
        <v>0.10849349039057656</v>
      </c>
      <c r="H15" s="5">
        <f t="shared" si="4"/>
        <v>0.89150650960942346</v>
      </c>
      <c r="I15" s="5">
        <f t="shared" si="5"/>
        <v>0.10849349039057656</v>
      </c>
      <c r="J15" s="5">
        <f t="shared" si="6"/>
        <v>0.89150650960942346</v>
      </c>
      <c r="K15" s="5">
        <f t="shared" si="7"/>
        <v>6.6131861180597482E-2</v>
      </c>
      <c r="L15" s="5">
        <f t="shared" si="8"/>
        <v>0.93386813881940245</v>
      </c>
      <c r="M15" s="5">
        <f t="shared" si="13"/>
        <v>1.2141157889651688</v>
      </c>
      <c r="N15" s="5">
        <f t="shared" si="9"/>
        <v>4.8825718241090929E-2</v>
      </c>
      <c r="O15" s="5">
        <f t="shared" si="10"/>
        <v>3.3673153302281573</v>
      </c>
      <c r="P15" s="5">
        <f t="shared" si="10"/>
        <v>1.0500373324388981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1.0057668053172291</v>
      </c>
      <c r="F16" s="5">
        <f t="shared" si="2"/>
        <v>0.38616902968096672</v>
      </c>
      <c r="G16" s="5">
        <f t="shared" si="3"/>
        <v>0.13960909453530115</v>
      </c>
      <c r="H16" s="5">
        <f t="shared" si="4"/>
        <v>0.86039090546469876</v>
      </c>
      <c r="I16" s="5">
        <f t="shared" si="5"/>
        <v>0.13960909453530115</v>
      </c>
      <c r="J16" s="5">
        <f t="shared" si="6"/>
        <v>0.86039090546469876</v>
      </c>
      <c r="K16" s="5">
        <f t="shared" si="7"/>
        <v>8.6273994954846819E-2</v>
      </c>
      <c r="L16" s="5">
        <f t="shared" si="8"/>
        <v>0.91372600504515322</v>
      </c>
      <c r="M16" s="5">
        <f t="shared" si="13"/>
        <v>1.1127303482326241</v>
      </c>
      <c r="N16" s="5">
        <f t="shared" si="9"/>
        <v>7.8289998150867762E-2</v>
      </c>
      <c r="O16" s="5">
        <f t="shared" si="10"/>
        <v>3.0426545700854715</v>
      </c>
      <c r="P16" s="5">
        <f t="shared" si="10"/>
        <v>1.0814362277069816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1.0057668053172291</v>
      </c>
      <c r="F17" s="5">
        <f t="shared" si="2"/>
        <v>0.38616902968096672</v>
      </c>
      <c r="G17" s="5">
        <f t="shared" si="3"/>
        <v>0.17261219792865362</v>
      </c>
      <c r="H17" s="5">
        <f t="shared" si="4"/>
        <v>0.82738780207134643</v>
      </c>
      <c r="I17" s="5">
        <f t="shared" si="5"/>
        <v>0.17261219792865362</v>
      </c>
      <c r="J17" s="5">
        <f t="shared" si="6"/>
        <v>0.82738780207134643</v>
      </c>
      <c r="K17" s="5">
        <f t="shared" si="7"/>
        <v>0.10825524704553389</v>
      </c>
      <c r="L17" s="5">
        <f t="shared" si="8"/>
        <v>0.8917447529544662</v>
      </c>
      <c r="M17" s="5">
        <f t="shared" si="13"/>
        <v>1.0135803066123066</v>
      </c>
      <c r="N17" s="5">
        <f t="shared" si="9"/>
        <v>0.11593523029565149</v>
      </c>
      <c r="O17" s="5">
        <f t="shared" si="10"/>
        <v>2.7554487268802035</v>
      </c>
      <c r="P17" s="5">
        <f t="shared" si="10"/>
        <v>1.1229231383781295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1.0057668053172291</v>
      </c>
      <c r="F18" s="5">
        <f t="shared" si="2"/>
        <v>0.38616902968096672</v>
      </c>
      <c r="G18" s="5">
        <f t="shared" si="3"/>
        <v>0.20767991862337881</v>
      </c>
      <c r="H18" s="5">
        <f t="shared" si="4"/>
        <v>0.79232008137662113</v>
      </c>
      <c r="I18" s="5">
        <f t="shared" si="5"/>
        <v>0.20767991862337881</v>
      </c>
      <c r="J18" s="5">
        <f t="shared" si="6"/>
        <v>0.79232008137662113</v>
      </c>
      <c r="K18" s="5">
        <f t="shared" si="7"/>
        <v>0.13233955370334979</v>
      </c>
      <c r="L18" s="5">
        <f t="shared" si="8"/>
        <v>0.86766044629665018</v>
      </c>
      <c r="M18" s="5">
        <f t="shared" si="13"/>
        <v>0.91665179798526564</v>
      </c>
      <c r="N18" s="5">
        <f t="shared" si="9"/>
        <v>0.16264989424073581</v>
      </c>
      <c r="O18" s="5">
        <f t="shared" si="10"/>
        <v>2.5009028282583121</v>
      </c>
      <c r="P18" s="5">
        <f t="shared" si="10"/>
        <v>1.1766246744931967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1.0057668053172291</v>
      </c>
      <c r="F19" s="5">
        <f t="shared" si="2"/>
        <v>0.38616902968096672</v>
      </c>
      <c r="G19" s="5">
        <f t="shared" si="3"/>
        <v>0.2450122506125306</v>
      </c>
      <c r="H19" s="5">
        <f t="shared" si="4"/>
        <v>0.75498774938746949</v>
      </c>
      <c r="I19" s="5">
        <f t="shared" si="5"/>
        <v>0.2450122506125306</v>
      </c>
      <c r="J19" s="5">
        <f t="shared" si="6"/>
        <v>0.75498774938746949</v>
      </c>
      <c r="K19" s="5">
        <f t="shared" si="7"/>
        <v>0.15884389271130983</v>
      </c>
      <c r="L19" s="5">
        <f t="shared" si="8"/>
        <v>0.84115610728869017</v>
      </c>
      <c r="M19" s="5">
        <f t="shared" si="13"/>
        <v>0.82195432288179804</v>
      </c>
      <c r="N19" s="5">
        <f t="shared" si="9"/>
        <v>0.21952529813274069</v>
      </c>
      <c r="O19" s="5">
        <f t="shared" si="10"/>
        <v>2.2749414660924896</v>
      </c>
      <c r="P19" s="5">
        <f t="shared" si="10"/>
        <v>1.2454853560110355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1.0057668053172291</v>
      </c>
      <c r="F20" s="5">
        <f t="shared" si="2"/>
        <v>0.38616902968096672</v>
      </c>
      <c r="G20" s="5">
        <f t="shared" si="3"/>
        <v>0.28483588027850609</v>
      </c>
      <c r="H20" s="5">
        <f t="shared" si="4"/>
        <v>0.71516411972149374</v>
      </c>
      <c r="I20" s="5">
        <f t="shared" si="5"/>
        <v>0.28483588027850609</v>
      </c>
      <c r="J20" s="5">
        <f t="shared" si="6"/>
        <v>0.71516411972149374</v>
      </c>
      <c r="K20" s="5">
        <f t="shared" si="7"/>
        <v>0.18815231247827044</v>
      </c>
      <c r="L20" s="5">
        <f t="shared" si="8"/>
        <v>0.81184768752172953</v>
      </c>
      <c r="M20" s="5">
        <f t="shared" si="13"/>
        <v>0.7295280588723887</v>
      </c>
      <c r="N20" s="5">
        <f t="shared" si="9"/>
        <v>0.28791270278819864</v>
      </c>
      <c r="O20" s="5">
        <f t="shared" si="10"/>
        <v>2.0741015228456239</v>
      </c>
      <c r="P20" s="5">
        <f t="shared" si="10"/>
        <v>1.3336408759115179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1.0057668053172291</v>
      </c>
      <c r="F21" s="5">
        <f t="shared" si="2"/>
        <v>0.38616902968096672</v>
      </c>
      <c r="G21" s="5">
        <f t="shared" si="3"/>
        <v>0.32740879326473332</v>
      </c>
      <c r="H21" s="5">
        <f t="shared" si="4"/>
        <v>0.67259120673526662</v>
      </c>
      <c r="I21" s="5">
        <f t="shared" si="5"/>
        <v>0.32740879326473332</v>
      </c>
      <c r="J21" s="5">
        <f t="shared" si="6"/>
        <v>0.67259120673526662</v>
      </c>
      <c r="K21" s="5">
        <f t="shared" si="7"/>
        <v>0.22073466253988822</v>
      </c>
      <c r="L21" s="5">
        <f t="shared" si="8"/>
        <v>0.77926533746011195</v>
      </c>
      <c r="M21" s="5">
        <f t="shared" si="13"/>
        <v>0.63945445013290381</v>
      </c>
      <c r="N21" s="5">
        <f t="shared" si="9"/>
        <v>0.36950124854237015</v>
      </c>
      <c r="O21" s="5">
        <f t="shared" si="10"/>
        <v>1.8954465365817175</v>
      </c>
      <c r="P21" s="5">
        <f t="shared" si="10"/>
        <v>1.4470127349482442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1.0057668053172291</v>
      </c>
      <c r="F22" s="5">
        <f t="shared" si="2"/>
        <v>0.38616902968096672</v>
      </c>
      <c r="G22" s="5">
        <f t="shared" si="3"/>
        <v>0.37302586958628037</v>
      </c>
      <c r="H22" s="5">
        <f t="shared" si="4"/>
        <v>0.62697413041371974</v>
      </c>
      <c r="I22" s="5">
        <f t="shared" si="5"/>
        <v>0.37302586958628037</v>
      </c>
      <c r="J22" s="5">
        <f t="shared" si="6"/>
        <v>0.62697413041371974</v>
      </c>
      <c r="K22" s="5">
        <f t="shared" si="7"/>
        <v>0.25717197232097705</v>
      </c>
      <c r="L22" s="5">
        <f t="shared" si="8"/>
        <v>0.74282802767902301</v>
      </c>
      <c r="M22" s="5">
        <f t="shared" si="13"/>
        <v>0.55187172729919787</v>
      </c>
      <c r="N22" s="5">
        <f t="shared" si="9"/>
        <v>0.46642595488606653</v>
      </c>
      <c r="O22" s="5">
        <f t="shared" si="10"/>
        <v>1.7365002328598143</v>
      </c>
      <c r="P22" s="5">
        <f t="shared" si="10"/>
        <v>1.5942859486269427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1.0057668053172291</v>
      </c>
      <c r="F23" s="5">
        <f t="shared" si="2"/>
        <v>0.38616902968096672</v>
      </c>
      <c r="G23" s="5">
        <f t="shared" si="3"/>
        <v>0.42202572347266876</v>
      </c>
      <c r="H23" s="5">
        <f t="shared" si="4"/>
        <v>0.57797427652733113</v>
      </c>
      <c r="I23" s="5">
        <f t="shared" si="5"/>
        <v>0.42202572347266876</v>
      </c>
      <c r="J23" s="5">
        <f t="shared" si="6"/>
        <v>0.57797427652733113</v>
      </c>
      <c r="K23" s="5">
        <f t="shared" si="7"/>
        <v>0.29819140430864971</v>
      </c>
      <c r="L23" s="5">
        <f t="shared" si="8"/>
        <v>0.70180859569135023</v>
      </c>
      <c r="M23" s="5">
        <f t="shared" si="13"/>
        <v>0.46699798085500455</v>
      </c>
      <c r="N23" s="5">
        <f t="shared" si="9"/>
        <v>0.58142004063134034</v>
      </c>
      <c r="O23" s="5">
        <f t="shared" si="10"/>
        <v>1.5951981824773218</v>
      </c>
      <c r="P23" s="5">
        <f t="shared" si="10"/>
        <v>1.788576479530569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1.0057668053172291</v>
      </c>
      <c r="F24" s="5">
        <f t="shared" si="2"/>
        <v>0.38616902968096672</v>
      </c>
      <c r="G24" s="5">
        <f t="shared" si="3"/>
        <v>0.47479912344777209</v>
      </c>
      <c r="H24" s="5">
        <f t="shared" si="4"/>
        <v>0.52520087655222791</v>
      </c>
      <c r="I24" s="5">
        <f t="shared" si="5"/>
        <v>0.47479912344777209</v>
      </c>
      <c r="J24" s="5">
        <f t="shared" si="6"/>
        <v>0.52520087655222791</v>
      </c>
      <c r="K24" s="5">
        <f t="shared" si="7"/>
        <v>0.34471527843828992</v>
      </c>
      <c r="L24" s="5">
        <f t="shared" si="8"/>
        <v>0.65528472156171003</v>
      </c>
      <c r="M24" s="5">
        <f t="shared" si="13"/>
        <v>0.38516604814141081</v>
      </c>
      <c r="N24" s="5">
        <f t="shared" si="9"/>
        <v>0.71803396985335333</v>
      </c>
      <c r="O24" s="5">
        <f t="shared" si="10"/>
        <v>1.4698583684290238</v>
      </c>
      <c r="P24" s="5">
        <f t="shared" si="10"/>
        <v>2.0503981008909333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1.0057668053172291</v>
      </c>
      <c r="F25" s="5">
        <f t="shared" si="2"/>
        <v>0.38616902968096672</v>
      </c>
      <c r="G25" s="5">
        <f t="shared" si="3"/>
        <v>0.5317994356414153</v>
      </c>
      <c r="H25" s="5">
        <f t="shared" si="4"/>
        <v>0.4682005643585847</v>
      </c>
      <c r="I25" s="5">
        <f t="shared" si="5"/>
        <v>0.5317994356414153</v>
      </c>
      <c r="J25" s="5">
        <f t="shared" si="6"/>
        <v>0.4682005643585847</v>
      </c>
      <c r="K25" s="5">
        <f t="shared" si="7"/>
        <v>0.39793125181509803</v>
      </c>
      <c r="L25" s="5">
        <f t="shared" si="8"/>
        <v>0.60206874818490197</v>
      </c>
      <c r="M25" s="5">
        <f t="shared" si="13"/>
        <v>0.30687730401692842</v>
      </c>
      <c r="N25" s="5">
        <f t="shared" si="9"/>
        <v>0.88095736574289518</v>
      </c>
      <c r="O25" s="5">
        <f t="shared" si="10"/>
        <v>1.3591741926271215</v>
      </c>
      <c r="P25" s="5">
        <f t="shared" si="10"/>
        <v>2.4132089244124146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1.0057668053172291</v>
      </c>
      <c r="F26" s="5">
        <f t="shared" si="2"/>
        <v>0.38616902968096672</v>
      </c>
      <c r="G26" s="5">
        <f t="shared" si="3"/>
        <v>0.5935556811758057</v>
      </c>
      <c r="H26" s="5">
        <f t="shared" si="4"/>
        <v>0.40644431882419435</v>
      </c>
      <c r="I26" s="5">
        <f t="shared" si="5"/>
        <v>0.5935556811758057</v>
      </c>
      <c r="J26" s="5">
        <f t="shared" si="6"/>
        <v>0.40644431882419435</v>
      </c>
      <c r="K26" s="5">
        <f t="shared" si="7"/>
        <v>0.4593951297458348</v>
      </c>
      <c r="L26" s="5">
        <f t="shared" si="8"/>
        <v>0.54060487025416515</v>
      </c>
      <c r="M26" s="5">
        <f t="shared" si="13"/>
        <v>0.23288648523007432</v>
      </c>
      <c r="N26" s="5">
        <f t="shared" si="9"/>
        <v>1.0765037813659473</v>
      </c>
      <c r="O26" s="5">
        <f t="shared" si="10"/>
        <v>1.2622381885170426</v>
      </c>
      <c r="P26" s="5">
        <f t="shared" si="10"/>
        <v>2.9344022838031472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1.0057668053172291</v>
      </c>
      <c r="F27" s="5">
        <f t="shared" si="2"/>
        <v>0.38616902968096672</v>
      </c>
      <c r="G27" s="5">
        <f t="shared" si="3"/>
        <v>0.66068900424728672</v>
      </c>
      <c r="H27" s="5">
        <f t="shared" si="4"/>
        <v>0.33931099575271334</v>
      </c>
      <c r="I27" s="5">
        <f t="shared" si="5"/>
        <v>0.66068900424728672</v>
      </c>
      <c r="J27" s="5">
        <f t="shared" si="6"/>
        <v>0.33931099575271334</v>
      </c>
      <c r="K27" s="5">
        <f t="shared" si="7"/>
        <v>0.5311854963264484</v>
      </c>
      <c r="L27" s="5">
        <f t="shared" si="8"/>
        <v>0.46881450367355165</v>
      </c>
      <c r="M27" s="5">
        <f t="shared" si="13"/>
        <v>0.16433896100429435</v>
      </c>
      <c r="N27" s="5">
        <f>LN(_phi2/_x2)+5*_q2*LN(theta2/_phi2)+_phi1*(_lf2)-_qp2*LN(thetap2+thetap1*_tau12)+thetap1*_qp2*(_tau12/(thetap2+thetap1*_tau12)-_tau21/(thetap1+thetap2*_tau21))</f>
        <v>1.3133611592944561</v>
      </c>
      <c r="O27" s="5">
        <f t="shared" si="10"/>
        <v>1.1786137514930972</v>
      </c>
      <c r="P27" s="5">
        <f t="shared" si="10"/>
        <v>3.7186517109531874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1.0057668053172291</v>
      </c>
      <c r="F28" s="5">
        <f t="shared" si="2"/>
        <v>0.38616902968096672</v>
      </c>
      <c r="G28" s="5">
        <f t="shared" si="3"/>
        <v>0.73393363759713859</v>
      </c>
      <c r="H28" s="5">
        <f t="shared" si="4"/>
        <v>0.26606636240286141</v>
      </c>
      <c r="I28" s="5">
        <f t="shared" si="5"/>
        <v>0.73393363759713859</v>
      </c>
      <c r="J28" s="5">
        <f t="shared" si="6"/>
        <v>0.26606636240286141</v>
      </c>
      <c r="K28" s="5">
        <f t="shared" si="7"/>
        <v>0.61614343062674115</v>
      </c>
      <c r="L28" s="5">
        <f t="shared" si="8"/>
        <v>0.38385656937325885</v>
      </c>
      <c r="M28" s="5">
        <f>LN(_phi1/_x1)+5*_q1*LN(theta1/_phi1)+_phi2*(_lf1)-_qp1*LN(thetap1+thetap2*_tau21)+thetap2*_qp1*(_tau21/(thetap1+thetap2*_tau21)-_tau12/(thetap2+thetap1*_tau12))</f>
        <v>0.10299962551678715</v>
      </c>
      <c r="N28" s="5">
        <f>LN(_phi2/_x2)+5*_q2*LN(theta2/_phi2)+_phi1*(_lf2)-_qp2*LN(thetap2+thetap1*_tau12)+thetap1*_qp2*(_tau12/(thetap2+thetap1*_tau12)-_tau21/(thetap1+thetap2*_tau21))</f>
        <v>1.6037908500438656</v>
      </c>
      <c r="O28" s="5">
        <f t="shared" si="10"/>
        <v>1.1084909939646608</v>
      </c>
      <c r="P28" s="5">
        <f t="shared" si="10"/>
        <v>4.9718442614770915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1.0057668053172291</v>
      </c>
      <c r="F29" s="5">
        <f t="shared" si="2"/>
        <v>0.38616902968096672</v>
      </c>
      <c r="G29" s="5">
        <f t="shared" si="3"/>
        <v>0.81416386663220508</v>
      </c>
      <c r="H29" s="5">
        <f t="shared" si="4"/>
        <v>0.18583613336779489</v>
      </c>
      <c r="I29" s="5">
        <f t="shared" si="5"/>
        <v>0.81416386663220508</v>
      </c>
      <c r="J29" s="5">
        <f t="shared" si="6"/>
        <v>0.18583613336779489</v>
      </c>
      <c r="K29" s="5">
        <f t="shared" si="7"/>
        <v>0.71825744498130673</v>
      </c>
      <c r="L29" s="5">
        <f t="shared" si="8"/>
        <v>0.28174255501869316</v>
      </c>
      <c r="M29" s="5">
        <f>LN(_phi1/_x1)+5*_q1*LN(theta1/_phi1)+_phi2*(_lf1)-_qp1*LN(thetap1+thetap2*_tau21)+thetap2*_qp1*(_tau21/(thetap1+thetap2*_tau21)-_tau12/(thetap2+thetap1*_tau12))</f>
        <v>5.1648114852119009E-2</v>
      </c>
      <c r="N29" s="5">
        <f>LN(_phi2/_x2)+5*_q2*LN(theta2/_phi2)+_phi1*(_lf2)-_qp2*LN(thetap2+thetap1*_tau12)+thetap1*_qp2*(_tau12/(thetap2+thetap1*_tau12)-_tau21/(thetap1+thetap2*_tau21))</f>
        <v>1.9656144577190715</v>
      </c>
      <c r="O29" s="5">
        <f t="shared" si="10"/>
        <v>1.0530051404429426</v>
      </c>
      <c r="P29" s="5">
        <f t="shared" si="10"/>
        <v>7.1392980394729753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1.0057668053172291</v>
      </c>
      <c r="F30" s="5">
        <f t="shared" si="2"/>
        <v>0.38616902968096672</v>
      </c>
      <c r="G30" s="5">
        <f t="shared" si="3"/>
        <v>0.90242909485683331</v>
      </c>
      <c r="H30" s="5">
        <f t="shared" si="4"/>
        <v>9.7570905143166797E-2</v>
      </c>
      <c r="I30" s="5">
        <f t="shared" si="5"/>
        <v>0.90242909485683331</v>
      </c>
      <c r="J30" s="5">
        <f t="shared" si="6"/>
        <v>9.7570905143166797E-2</v>
      </c>
      <c r="K30" s="5">
        <f t="shared" si="7"/>
        <v>0.84330781217586048</v>
      </c>
      <c r="L30" s="5">
        <f t="shared" si="8"/>
        <v>0.15669218782413963</v>
      </c>
      <c r="M30" s="5">
        <f>LN(_phi1/_x1)+5*_q1*LN(theta1/_phi1)+_phi2*(_lf1)-_qp1*LN(thetap1+thetap2*_tau21)+thetap2*_qp1*(_tau21/(thetap1+thetap2*_tau21)-_tau12/(thetap2+thetap1*_tau12))</f>
        <v>1.4789865200370081E-2</v>
      </c>
      <c r="N30" s="5">
        <f>LN(_phi2/_x2)+5*_q2*LN(theta2/_phi2)+_phi1*(_lf2)-_qp2*LN(thetap2+thetap1*_tau12)+thetap1*_qp2*(_tau12/(thetap2+thetap1*_tau12)-_tau21/(thetap1+thetap2*_tau21))</f>
        <v>2.4256498162490994</v>
      </c>
      <c r="O30" s="5">
        <f t="shared" si="10"/>
        <v>1.0148997764457026</v>
      </c>
      <c r="P30" s="5">
        <f t="shared" si="10"/>
        <v>11.309576178370474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1.0057668053172291</v>
      </c>
      <c r="F31" s="5">
        <f t="shared" si="2"/>
        <v>0.38616902968096672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3.0259628161524068</v>
      </c>
      <c r="O31" s="5">
        <f t="shared" si="10"/>
        <v>1</v>
      </c>
      <c r="P31" s="5">
        <f t="shared" si="10"/>
        <v>20.613842500114014</v>
      </c>
    </row>
  </sheetData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tabSelected="1" zoomScale="150" zoomScaleNormal="150" zoomScalePageLayoutView="150" workbookViewId="0">
      <selection activeCell="B13" sqref="B13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66</v>
      </c>
    </row>
    <row r="3" spans="1:19">
      <c r="A3" s="69" t="s">
        <v>226</v>
      </c>
    </row>
    <row r="4" spans="1:19">
      <c r="A4" s="69" t="s">
        <v>69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223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224</v>
      </c>
      <c r="B7" s="62">
        <v>1730.63</v>
      </c>
      <c r="C7" s="62">
        <v>1434.2010693621778</v>
      </c>
      <c r="D7" s="62"/>
      <c r="E7" s="62"/>
      <c r="F7" s="62"/>
      <c r="O7" s="69" t="s">
        <v>65</v>
      </c>
    </row>
    <row r="8" spans="1:19">
      <c r="A8" s="183" t="s">
        <v>225</v>
      </c>
      <c r="B8" s="62">
        <v>233.42599999999999</v>
      </c>
      <c r="C8" s="62">
        <v>246.49904574755209</v>
      </c>
      <c r="D8" s="62"/>
      <c r="E8" s="62"/>
      <c r="F8" s="62"/>
      <c r="O8" s="5" t="s">
        <v>67</v>
      </c>
    </row>
    <row r="9" spans="1:19">
      <c r="A9" s="183" t="s">
        <v>227</v>
      </c>
      <c r="B9" s="61">
        <f>10^(A.-B./(B12-273.15+C.))</f>
        <v>26.197806931661823</v>
      </c>
      <c r="C9" s="61">
        <f>10^(A.-B./(TK-273.15+C.))</f>
        <v>107.40039775848409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68</v>
      </c>
    </row>
    <row r="10" spans="1:19">
      <c r="A10" s="184" t="s">
        <v>228</v>
      </c>
      <c r="B10" s="185">
        <f>act*Psat/$B$11</f>
        <v>0.30031217494950435</v>
      </c>
      <c r="C10" s="185">
        <f>act*Psat/$B$11</f>
        <v>0.69968782504930527</v>
      </c>
      <c r="D10" s="185">
        <f>act*Psat/$B$11</f>
        <v>2.224520527091222E-14</v>
      </c>
      <c r="E10" s="185">
        <f>act*Psat/$B$11</f>
        <v>9.8729499643535621E-13</v>
      </c>
      <c r="F10" s="185">
        <f>act*Psat/$B$11</f>
        <v>1.8062192466948416E-13</v>
      </c>
      <c r="H10" s="69" t="s">
        <v>70</v>
      </c>
      <c r="O10" s="69"/>
      <c r="P10" s="60">
        <v>1</v>
      </c>
      <c r="Q10" s="60">
        <v>2</v>
      </c>
      <c r="R10" s="60">
        <v>3</v>
      </c>
      <c r="S10" s="69" t="s">
        <v>71</v>
      </c>
    </row>
    <row r="11" spans="1:19">
      <c r="A11" s="184" t="s">
        <v>229</v>
      </c>
      <c r="B11" s="186">
        <f t="array" ref="B11">SUM(B17:F17*B9:F9)</f>
        <v>84.889490697490601</v>
      </c>
      <c r="C11" s="187"/>
      <c r="D11" s="187"/>
      <c r="O11" s="5" t="s">
        <v>72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73</v>
      </c>
      <c r="B12" s="62">
        <v>299.85000000000002</v>
      </c>
      <c r="C12" s="69" t="s">
        <v>74</v>
      </c>
      <c r="H12" s="69" t="s">
        <v>75</v>
      </c>
      <c r="O12" s="5" t="s">
        <v>76</v>
      </c>
      <c r="P12" s="60">
        <f>B16/I16</f>
        <v>0.50272077300718543</v>
      </c>
      <c r="Q12" s="60">
        <f>C16/J16</f>
        <v>10.693732613040609</v>
      </c>
      <c r="R12" s="60">
        <f>D16/K16</f>
        <v>5.6931543990261941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77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78</v>
      </c>
      <c r="B14" s="62" t="s">
        <v>79</v>
      </c>
      <c r="C14" s="62" t="s">
        <v>80</v>
      </c>
      <c r="D14" s="62" t="s">
        <v>81</v>
      </c>
      <c r="E14" s="62"/>
      <c r="F14" s="62"/>
      <c r="G14"/>
      <c r="H14" s="61" t="s">
        <v>78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82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83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83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84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85</v>
      </c>
      <c r="B16" s="61">
        <f>EXP(B40+B44)</f>
        <v>1.0073602357412628</v>
      </c>
      <c r="C16" s="61">
        <f>EXP(C40+C44)</f>
        <v>16.265725474159268</v>
      </c>
      <c r="D16" s="61">
        <f>EXP(D40+D44)</f>
        <v>0.18883841459088718</v>
      </c>
      <c r="E16" s="61">
        <f>EXP(E40+E44)</f>
        <v>8.3810969415578196</v>
      </c>
      <c r="F16" s="61">
        <f>EXP(F40+F44)</f>
        <v>1.5332903193993024</v>
      </c>
      <c r="G16"/>
      <c r="H16" s="65" t="s">
        <v>85</v>
      </c>
      <c r="I16" s="61">
        <f>EXP(I40+I44)</f>
        <v>2.0038166111883831</v>
      </c>
      <c r="J16" s="61">
        <f>EXP(J40+J44)</f>
        <v>1.521052195967928</v>
      </c>
      <c r="K16" s="61">
        <f>EXP(K40+K44)</f>
        <v>3.3169382271309507E-2</v>
      </c>
      <c r="L16" s="61">
        <f>EXP(L40+L44)</f>
        <v>1.0205546571711785</v>
      </c>
      <c r="M16" s="61">
        <f>EXP(M40+M44)</f>
        <v>0.69819947789826842</v>
      </c>
      <c r="O16" s="69" t="s">
        <v>86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 ht="14">
      <c r="A17" s="61" t="s">
        <v>87</v>
      </c>
      <c r="B17" s="61">
        <f>xalpha*galpha</f>
        <v>0.97310998772605983</v>
      </c>
      <c r="C17" s="61">
        <f>xalpha*galpha</f>
        <v>0.55303466612141516</v>
      </c>
      <c r="D17" s="61">
        <f>xalpha*galpha</f>
        <v>1.8883841459088718E-12</v>
      </c>
      <c r="E17" s="61">
        <f>xalpha*galpha</f>
        <v>8.3810969415578192E-11</v>
      </c>
      <c r="F17" s="61">
        <f>xalpha*galpha</f>
        <v>1.5332903193993023E-11</v>
      </c>
      <c r="H17" s="61" t="s">
        <v>87</v>
      </c>
      <c r="I17" s="61">
        <f>xbeta*gbeta</f>
        <v>0.94809575639022936</v>
      </c>
      <c r="J17" s="61">
        <f>xbeta*gbeta</f>
        <v>0.76165037193298846</v>
      </c>
      <c r="K17" s="61">
        <f>xbeta*gbeta</f>
        <v>8.6624776460716491E-4</v>
      </c>
      <c r="L17" s="61">
        <f>xbeta*gbeta</f>
        <v>1.0205546571711784E-11</v>
      </c>
      <c r="M17" s="61">
        <f>xbeta*gbeta</f>
        <v>6.9819947789826834E-12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88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89</v>
      </c>
    </row>
    <row r="21" spans="1:15" ht="14">
      <c r="A21" s="65" t="s">
        <v>90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90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91</v>
      </c>
    </row>
    <row r="22" spans="1:15" ht="14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92</v>
      </c>
    </row>
    <row r="23" spans="1:15" ht="14">
      <c r="A23" s="67" t="s">
        <v>93</v>
      </c>
      <c r="B23" s="60">
        <f t="array" ref="B23">SUM(B15:F15*$B$19:$F$19)</f>
        <v>0.99914860006822415</v>
      </c>
      <c r="C23" s="67" t="s">
        <v>94</v>
      </c>
      <c r="D23" s="60">
        <f t="array" ref="D23">SUM($B$20:$F$20*B15:F15)</f>
        <v>1.4501840000590198</v>
      </c>
      <c r="E23"/>
      <c r="F23" s="66"/>
      <c r="H23" s="67" t="s">
        <v>93</v>
      </c>
      <c r="I23" s="60">
        <f t="array" ref="I23">SUM(I15:M15*$B$19:$F$19)</f>
        <v>2.1191616599026317</v>
      </c>
      <c r="J23" s="67" t="s">
        <v>94</v>
      </c>
      <c r="K23" s="60">
        <f t="array" ref="K23">SUM($B$20:$F$20*I15:M15)</f>
        <v>2.1566408485572506</v>
      </c>
      <c r="L23"/>
      <c r="M23" s="66"/>
    </row>
    <row r="24" spans="1:15">
      <c r="A24" s="70" t="s">
        <v>95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96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97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98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99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1.006988454815827</v>
      </c>
      <c r="D34" s="63">
        <f>EXP(-D26/TK)</f>
        <v>0.42844604626852939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0.31589580901042269</v>
      </c>
      <c r="C35" s="63">
        <v>1</v>
      </c>
      <c r="D35" s="63">
        <f>EXP(-D27/TK)</f>
        <v>2.333860496359935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2.7289091510535251</v>
      </c>
      <c r="C36" s="63">
        <f t="shared" si="1"/>
        <v>1.015302495581641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100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100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101</v>
      </c>
      <c r="B41" s="61">
        <f t="array" ref="B41:F41">MMULT(B22:F22,$B$34:$F$38)</f>
        <v>0.95387175408556479</v>
      </c>
      <c r="C41" s="61">
        <v>1.0065172324979843</v>
      </c>
      <c r="D41" s="61">
        <v>0.55692563686799001</v>
      </c>
      <c r="E41" s="61">
        <v>1</v>
      </c>
      <c r="F41" s="61">
        <v>1</v>
      </c>
      <c r="H41" s="65" t="s">
        <v>101</v>
      </c>
      <c r="I41" s="61">
        <f t="array" ref="I41:M41">MMULT(I22:M22,$B$34:$F$38)</f>
        <v>0.58656020549432208</v>
      </c>
      <c r="J41" s="61">
        <v>1.0025304276082816</v>
      </c>
      <c r="K41" s="61">
        <v>1.7151528487392578</v>
      </c>
      <c r="L41" s="61">
        <v>1</v>
      </c>
      <c r="M41" s="61">
        <v>1</v>
      </c>
    </row>
    <row r="42" spans="1:13" ht="14">
      <c r="A42" s="65" t="s">
        <v>102</v>
      </c>
      <c r="B42" s="61">
        <f>B22/B41</f>
        <v>0.97766949388741842</v>
      </c>
      <c r="C42" s="61">
        <f>C22/C41</f>
        <v>6.6992081935466102E-2</v>
      </c>
      <c r="D42" s="61">
        <f>D22/D41</f>
        <v>2.5654847161086296E-11</v>
      </c>
      <c r="E42" s="61">
        <f>E22/E41</f>
        <v>1.6549624047033509E-11</v>
      </c>
      <c r="F42" s="61">
        <f>F22/F41</f>
        <v>9.8608176613574651E-12</v>
      </c>
      <c r="H42" s="65" t="s">
        <v>102</v>
      </c>
      <c r="I42" s="61">
        <f>I22/I41</f>
        <v>0.52363882976223419</v>
      </c>
      <c r="J42" s="61">
        <f>J22/J41</f>
        <v>0.66607791371994718</v>
      </c>
      <c r="K42" s="61">
        <f>K22/K41</f>
        <v>1.4628973008703675E-2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103</v>
      </c>
      <c r="B43" s="61">
        <f t="array" ref="B43:F43">MMULT(B42:F42,TRANSPOSE(B34:F38))</f>
        <v>1.0451297469979108</v>
      </c>
      <c r="C43" s="61">
        <v>0.37583377773812798</v>
      </c>
      <c r="D43" s="61">
        <v>2.7359884566005985</v>
      </c>
      <c r="E43" s="61">
        <v>1.0446615758749498</v>
      </c>
      <c r="F43" s="61">
        <v>1.0446615758749498</v>
      </c>
      <c r="H43" s="65" t="s">
        <v>103</v>
      </c>
      <c r="I43" s="61">
        <f t="array" ref="I43:M43">MMULT(I42:M42,TRANSPOSE($B$34:$F$38))</f>
        <v>1.2006393245503408</v>
      </c>
      <c r="J43" s="61">
        <v>0.86563520770204749</v>
      </c>
      <c r="K43" s="61">
        <v>2.1198623354632575</v>
      </c>
      <c r="L43" s="61">
        <v>1.2043457165086442</v>
      </c>
      <c r="M43" s="61">
        <v>1.2043457165086442</v>
      </c>
    </row>
    <row r="44" spans="1:13" ht="14">
      <c r="A44" s="68" t="s">
        <v>104</v>
      </c>
      <c r="B44" s="61">
        <f>B20*(1-LN(B41)-B43)</f>
        <v>2.9348189529687205E-3</v>
      </c>
      <c r="C44" s="61">
        <f>C20*(1-LN(C41)-C43)</f>
        <v>1.776419308549356</v>
      </c>
      <c r="D44" s="61">
        <f>D20*(1-LN(D41)-D43)</f>
        <v>-2.3841776771766696</v>
      </c>
      <c r="E44" s="61">
        <f>E20*(1-LN(E41)-E43)</f>
        <v>-0.10718778209987949</v>
      </c>
      <c r="F44" s="61">
        <f>F20*(1-LN(F41)-F43)</f>
        <v>-6.3866053501178188E-2</v>
      </c>
      <c r="H44" s="68" t="s">
        <v>104</v>
      </c>
      <c r="I44" s="61">
        <f>$B$20*(1-LN(I41)-I43)</f>
        <v>0.46597689521936952</v>
      </c>
      <c r="J44" s="61">
        <f>$C$20*(1-LN(J41)-J43)</f>
        <v>0.37916482494998621</v>
      </c>
      <c r="K44" s="61">
        <f>$D$20*(1-LN(K41)-K43)</f>
        <v>-3.4382033201234186</v>
      </c>
      <c r="L44" s="61">
        <f>$E$20*(1-LN(L41)-L43)</f>
        <v>-0.49042971962074605</v>
      </c>
      <c r="M44" s="61">
        <f>$F$20*(1-LN(M41)-M43)</f>
        <v>-0.29221437460736116</v>
      </c>
    </row>
    <row r="46" spans="1:13">
      <c r="A46" s="60" t="s">
        <v>105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opLeftCell="A7" zoomScale="125" zoomScaleNormal="125" zoomScalePageLayoutView="125" workbookViewId="0">
      <selection activeCell="D22" sqref="D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106</v>
      </c>
      <c r="C1" s="144"/>
      <c r="D1" s="144"/>
    </row>
    <row r="2" spans="1:46">
      <c r="A2" s="144" t="s">
        <v>260</v>
      </c>
      <c r="C2" s="144"/>
      <c r="D2" s="144"/>
    </row>
    <row r="3" spans="1:46" s="144" customFormat="1" ht="12">
      <c r="A3" s="144" t="s">
        <v>261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113</v>
      </c>
      <c r="C9" s="203">
        <f t="array" ref="C9">SUM(C21:G21*C22:G22*C16:G16)</f>
        <v>60.311719504908282</v>
      </c>
      <c r="D9" s="203" t="s">
        <v>114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293</v>
      </c>
      <c r="C10" s="204">
        <v>25</v>
      </c>
      <c r="D10" s="205" t="s">
        <v>117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294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0">
      <c r="C12" s="36" t="s">
        <v>120</v>
      </c>
      <c r="D12" s="36" t="s">
        <v>121</v>
      </c>
      <c r="E12" s="36" t="s">
        <v>122</v>
      </c>
      <c r="F12" s="36" t="s">
        <v>123</v>
      </c>
      <c r="G12" s="36" t="s">
        <v>124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0">
      <c r="B13" s="35" t="s">
        <v>125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0">
      <c r="B14" s="35" t="s">
        <v>126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0">
      <c r="B15" s="35" t="s">
        <v>127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1">
      <c r="B16" s="35" t="s">
        <v>128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0">
      <c r="B17" s="35" t="s">
        <v>129</v>
      </c>
      <c r="C17" s="191">
        <f>C21*C22*C16/$C$9</f>
        <v>0.68926661760660102</v>
      </c>
      <c r="D17" s="191">
        <f>D21*D22*D16/$C$9</f>
        <v>0.31073338239339909</v>
      </c>
      <c r="E17" s="191">
        <f>E21*E22*E16/$C$9</f>
        <v>0</v>
      </c>
      <c r="F17" s="191">
        <f>F21*F22*F16/$C$9</f>
        <v>1.6496666704476638E-19</v>
      </c>
      <c r="G17" s="191">
        <f>G21*G22*G16/$C$9</f>
        <v>9.0424424895053898E-20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2">
      <c r="A18" s="206" t="s">
        <v>262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0"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2">
      <c r="B20" s="35"/>
      <c r="C20" s="53" t="s">
        <v>349</v>
      </c>
      <c r="D20" s="53" t="s">
        <v>348</v>
      </c>
      <c r="E20" s="53" t="s">
        <v>263</v>
      </c>
      <c r="F20" s="54" t="s">
        <v>130</v>
      </c>
      <c r="G20" s="53" t="s">
        <v>131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4">
      <c r="B21" s="72" t="s">
        <v>295</v>
      </c>
      <c r="C21" s="55">
        <v>0.94240000000000002</v>
      </c>
      <c r="D21" s="55">
        <v>5.7599999999999998E-2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132</v>
      </c>
      <c r="M21" s="36"/>
      <c r="N21" s="202"/>
      <c r="O21" s="202"/>
      <c r="P21" s="202"/>
      <c r="Q21" s="202"/>
      <c r="R21" s="80" t="s">
        <v>133</v>
      </c>
      <c r="S21" s="36"/>
      <c r="T21" s="36"/>
      <c r="U21" s="36"/>
      <c r="V21" s="202"/>
      <c r="W21" s="35"/>
      <c r="X21" s="81" t="s">
        <v>134</v>
      </c>
      <c r="Y21" s="36"/>
      <c r="Z21" s="35"/>
      <c r="AA21" s="35"/>
      <c r="AB21" s="202"/>
      <c r="AC21" s="36"/>
      <c r="AD21" s="81" t="s">
        <v>135</v>
      </c>
      <c r="AE21" s="35"/>
      <c r="AF21" s="35"/>
      <c r="AG21" s="35"/>
      <c r="AH21" s="36"/>
      <c r="AI21" s="36"/>
      <c r="AJ21" s="81" t="s">
        <v>136</v>
      </c>
      <c r="AK21" s="35"/>
      <c r="AL21" s="35"/>
      <c r="AN21" s="202"/>
      <c r="AP21" s="72" t="s">
        <v>137</v>
      </c>
      <c r="AU21" s="210"/>
      <c r="AV21" s="210"/>
      <c r="AW21" s="210"/>
    </row>
    <row r="22" spans="1:49" s="72" customFormat="1" ht="12">
      <c r="A22" s="72" t="s">
        <v>264</v>
      </c>
      <c r="B22" s="82" t="s">
        <v>138</v>
      </c>
      <c r="C22" s="56">
        <f>EXP(C52-C51+C50)</f>
        <v>1.0165937269457093</v>
      </c>
      <c r="D22" s="56">
        <f>EXP(D52-D51+D50)</f>
        <v>13.736238789580169</v>
      </c>
      <c r="E22" s="56">
        <f>EXP(E52-E51+E50)</f>
        <v>5.7767109943202897</v>
      </c>
      <c r="F22" s="56">
        <f>EXP(F52-F51+F50)</f>
        <v>16.866343121302087</v>
      </c>
      <c r="G22" s="56">
        <f>EXP(G52-G51+G50)</f>
        <v>1.0635230159607181</v>
      </c>
      <c r="H22" s="82" t="s">
        <v>139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140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140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140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140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140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140</v>
      </c>
      <c r="AU22" s="144"/>
      <c r="AV22" s="144"/>
      <c r="AW22" s="144"/>
    </row>
    <row r="23" spans="1:49" s="72" customFormat="1" ht="12">
      <c r="A23" s="211">
        <v>1</v>
      </c>
      <c r="B23" s="35" t="str">
        <f>'aij-UNIFAC (VLE)'!V10</f>
        <v>CH3</v>
      </c>
      <c r="C23" s="57"/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3.9999999999999998E-20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7.0028011204481788E-21</v>
      </c>
      <c r="P23" s="84">
        <f>J23*'aij-UNIFAC (VLE)'!$X10/J$43</f>
        <v>0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1.0816812183404148E-20</v>
      </c>
      <c r="V23" s="84">
        <f t="array" ref="V23:AA42">MMULT(TRANSPOSE(tau),P23:U42)</f>
        <v>1</v>
      </c>
      <c r="W23" s="88">
        <v>0.94613046106461629</v>
      </c>
      <c r="X23" s="85">
        <v>0.69414789551785028</v>
      </c>
      <c r="Y23" s="85">
        <v>0.81073147016518665</v>
      </c>
      <c r="Z23" s="88">
        <v>1</v>
      </c>
      <c r="AA23" s="89">
        <v>0.99858305757034138</v>
      </c>
      <c r="AB23" s="213">
        <f t="shared" ref="AB23:AB42" si="7">P23/V23</f>
        <v>0</v>
      </c>
      <c r="AC23" s="214">
        <f t="shared" ref="AC23:AC42" si="8">Q23/W23</f>
        <v>0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1.0832160731549563E-20</v>
      </c>
      <c r="AH23" s="84">
        <f t="array" ref="AH23:AM42">MMULT(tau,AB23:AG42)</f>
        <v>1</v>
      </c>
      <c r="AI23" s="85">
        <v>9.6479931281565207E-2</v>
      </c>
      <c r="AJ23" s="88">
        <v>0.86177004640731925</v>
      </c>
      <c r="AK23" s="88">
        <v>0.69660671354206738</v>
      </c>
      <c r="AL23" s="88">
        <v>1</v>
      </c>
      <c r="AM23" s="89">
        <v>0.99618302098207634</v>
      </c>
      <c r="AN23" s="92">
        <f>'aij-UNIFAC (VLE)'!$X10*(1-LN(V23)-AH23)</f>
        <v>0</v>
      </c>
      <c r="AO23" s="93">
        <f>'aij-UNIFAC (VLE)'!$X10*(1-LN(W23)-AI23)</f>
        <v>0.81314285828664878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4.4392174683045051E-3</v>
      </c>
      <c r="AU23" s="144"/>
      <c r="AV23" s="144"/>
      <c r="AW23" s="144"/>
    </row>
    <row r="24" spans="1:49" s="72" customFormat="1" ht="12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5.6543999999999999</v>
      </c>
      <c r="I24" s="36" t="str">
        <f t="shared" si="0"/>
        <v>CH2</v>
      </c>
      <c r="J24" s="95">
        <f t="shared" si="1"/>
        <v>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0.98991596638655466</v>
      </c>
      <c r="P24" s="95">
        <f>J24*'aij-UNIFAC (VLE)'!$X11/J$43</f>
        <v>1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0.97369677822269562</v>
      </c>
      <c r="V24" s="95">
        <v>1</v>
      </c>
      <c r="W24" s="99">
        <v>0.94613046106461629</v>
      </c>
      <c r="X24" s="96">
        <v>0.69414789551785028</v>
      </c>
      <c r="Y24" s="96">
        <v>0.81073147016518665</v>
      </c>
      <c r="Z24" s="99">
        <v>1</v>
      </c>
      <c r="AA24" s="100">
        <v>0.99858305757034138</v>
      </c>
      <c r="AB24" s="216">
        <f t="shared" si="7"/>
        <v>1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0.97507840819150615</v>
      </c>
      <c r="AH24" s="95">
        <v>1</v>
      </c>
      <c r="AI24" s="96">
        <v>9.6479931281565207E-2</v>
      </c>
      <c r="AJ24" s="99">
        <v>0.86177004640731925</v>
      </c>
      <c r="AK24" s="99">
        <v>0.69660671354206738</v>
      </c>
      <c r="AL24" s="99">
        <v>1</v>
      </c>
      <c r="AM24" s="100">
        <v>0.99618302098207634</v>
      </c>
      <c r="AN24" s="103">
        <f>'aij-UNIFAC (VLE)'!$X11*(1-LN(V24)-AH24)</f>
        <v>0</v>
      </c>
      <c r="AO24" s="104">
        <f>'aij-UNIFAC (VLE)'!$X11*(1-LN(W24)-AI24)</f>
        <v>0.51780323522970562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2.8268601802882466E-3</v>
      </c>
      <c r="AU24" s="144"/>
      <c r="AV24" s="144"/>
      <c r="AW24" s="144"/>
    </row>
    <row r="25" spans="1:49" s="72" customFormat="1" ht="10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</v>
      </c>
      <c r="W25" s="99">
        <v>0.94613046106461629</v>
      </c>
      <c r="X25" s="99">
        <v>0.69414789551785028</v>
      </c>
      <c r="Y25" s="99">
        <v>0.81073147016518665</v>
      </c>
      <c r="Z25" s="99">
        <v>1</v>
      </c>
      <c r="AA25" s="100">
        <v>0.99858305757034138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1</v>
      </c>
      <c r="AI25" s="99">
        <v>9.6479931281565207E-2</v>
      </c>
      <c r="AJ25" s="99">
        <v>0.86177004640731925</v>
      </c>
      <c r="AK25" s="99">
        <v>0.69660671354206738</v>
      </c>
      <c r="AL25" s="99">
        <v>1</v>
      </c>
      <c r="AM25" s="100">
        <v>0.99618302098207634</v>
      </c>
      <c r="AN25" s="103">
        <f>'aij-UNIFAC (VLE)'!$X12*(1-LN(V25)-AH25)</f>
        <v>0</v>
      </c>
      <c r="AO25" s="104">
        <f>'aij-UNIFAC (VLE)'!$X12*(1-LN(W25)-AI25)</f>
        <v>0.21862803265254235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1.1935631872328153E-3</v>
      </c>
    </row>
    <row r="26" spans="1:49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0.81462204265395999</v>
      </c>
      <c r="W26" s="96">
        <v>1.1825827546595307</v>
      </c>
      <c r="X26" s="96">
        <v>0.81310145961048286</v>
      </c>
      <c r="Y26" s="99">
        <v>0.78022226540407535</v>
      </c>
      <c r="Z26" s="99">
        <v>0.81462204265395999</v>
      </c>
      <c r="AA26" s="100">
        <v>0.82430059486717722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1.0380009113747288</v>
      </c>
      <c r="AI26" s="99">
        <v>0.11794761735227337</v>
      </c>
      <c r="AJ26" s="99">
        <v>0.94152419087402739</v>
      </c>
      <c r="AK26" s="99">
        <v>0.80028488520762786</v>
      </c>
      <c r="AL26" s="99">
        <v>1.0380009113747288</v>
      </c>
      <c r="AM26" s="100">
        <v>1.0379328626702207</v>
      </c>
      <c r="AN26" s="103">
        <f>'aij-UNIFAC (VLE)'!$X13*(1-LN(V26)-AH26)</f>
        <v>6.6812045310916807E-2</v>
      </c>
      <c r="AO26" s="104">
        <f>'aij-UNIFAC (VLE)'!$X13*(1-LN(W26)-AI26)</f>
        <v>0.28574062436548003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6.2114861331820231E-2</v>
      </c>
    </row>
    <row r="27" spans="1:49" s="72" customFormat="1" ht="10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0.81462204265395999</v>
      </c>
      <c r="W27" s="96">
        <v>1.1825827546595307</v>
      </c>
      <c r="X27" s="96">
        <v>0.81310145961048286</v>
      </c>
      <c r="Y27" s="99">
        <v>0.78022226540407535</v>
      </c>
      <c r="Z27" s="99">
        <v>0.81462204265395999</v>
      </c>
      <c r="AA27" s="100">
        <v>0.82430059486717722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1.0380009113747288</v>
      </c>
      <c r="AI27" s="99">
        <v>0.11794761735227337</v>
      </c>
      <c r="AJ27" s="99">
        <v>0.94152419087402739</v>
      </c>
      <c r="AK27" s="99">
        <v>0.80028488520762786</v>
      </c>
      <c r="AL27" s="99">
        <v>1.0380009113747288</v>
      </c>
      <c r="AM27" s="100">
        <v>1.0379328626702207</v>
      </c>
      <c r="AN27" s="103">
        <f>'aij-UNIFAC (VLE)'!$X14*(1-LN(V27)-AH27)</f>
        <v>2.0043613593275039E-2</v>
      </c>
      <c r="AO27" s="104">
        <f>'aij-UNIFAC (VLE)'!$X14*(1-LN(W27)-AI27)</f>
        <v>8.572218730964401E-2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1.8634458399546066E-2</v>
      </c>
    </row>
    <row r="28" spans="1:49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0.77369135021671831</v>
      </c>
      <c r="W28" s="96">
        <v>1.160967525690739</v>
      </c>
      <c r="X28" s="96">
        <v>0.75768766549455413</v>
      </c>
      <c r="Y28" s="99">
        <v>0.84016052039525224</v>
      </c>
      <c r="Z28" s="99">
        <v>0.77369135021671831</v>
      </c>
      <c r="AA28" s="100">
        <v>0.78387796134927767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1.2633601353240085</v>
      </c>
      <c r="AI28" s="99">
        <v>0.13223922138243857</v>
      </c>
      <c r="AJ28" s="99">
        <v>1.0149190465993372</v>
      </c>
      <c r="AK28" s="99">
        <v>0.90061819300939439</v>
      </c>
      <c r="AL28" s="99">
        <v>1.2633601353240085</v>
      </c>
      <c r="AM28" s="100">
        <v>1.2608020092808141</v>
      </c>
      <c r="AN28" s="103">
        <f>'aij-UNIFAC (VLE)'!$X15*(1-LN(V28)-AH28)</f>
        <v>-6.5609859726776486E-3</v>
      </c>
      <c r="AO28" s="104">
        <f>'aij-UNIFAC (VLE)'!$X15*(1-LN(W28)-AI28)</f>
        <v>0.69551482176150081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-1.6746474524655535E-2</v>
      </c>
    </row>
    <row r="29" spans="1:49" s="72" customFormat="1" ht="10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0"/>
        <v>ACCH2</v>
      </c>
      <c r="J29" s="95">
        <f t="shared" si="1"/>
        <v>0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0.77369135021671831</v>
      </c>
      <c r="W29" s="96">
        <v>1.160967525690739</v>
      </c>
      <c r="X29" s="96">
        <v>0.75768766549455413</v>
      </c>
      <c r="Y29" s="99">
        <v>0.84016052039525224</v>
      </c>
      <c r="Z29" s="99">
        <v>0.77369135021671831</v>
      </c>
      <c r="AA29" s="100">
        <v>0.78387796134927767</v>
      </c>
      <c r="AB29" s="216">
        <f t="shared" si="7"/>
        <v>0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</v>
      </c>
      <c r="AH29" s="95">
        <v>1.2633601353240085</v>
      </c>
      <c r="AI29" s="99">
        <v>0.13223922138243857</v>
      </c>
      <c r="AJ29" s="99">
        <v>1.0149190465993372</v>
      </c>
      <c r="AK29" s="99">
        <v>0.90061819300939439</v>
      </c>
      <c r="AL29" s="99">
        <v>1.2633601353240085</v>
      </c>
      <c r="AM29" s="100">
        <v>1.2608020092808141</v>
      </c>
      <c r="AN29" s="103">
        <f>'aij-UNIFAC (VLE)'!$X16*(1-LN(V29)-AH29)</f>
        <v>-4.4733995268256702E-3</v>
      </c>
      <c r="AO29" s="104">
        <f>'aij-UNIFAC (VLE)'!$X16*(1-LN(W29)-AI29)</f>
        <v>0.4742146512010233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-1.1418050812265138E-2</v>
      </c>
    </row>
    <row r="30" spans="1:49" s="72" customFormat="1" ht="10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1.7507002801120447E-21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3.8267024233741094E-21</v>
      </c>
      <c r="V30" s="95">
        <v>3.6562315037278185E-2</v>
      </c>
      <c r="W30" s="96">
        <v>0.43366388915280352</v>
      </c>
      <c r="X30" s="96">
        <v>0.79703479563269386</v>
      </c>
      <c r="Y30" s="99">
        <v>0.48328767127965305</v>
      </c>
      <c r="Z30" s="99">
        <v>3.6562315037278185E-2</v>
      </c>
      <c r="AA30" s="100">
        <v>4.7007365809355481E-2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8.1406442532725651E-20</v>
      </c>
      <c r="AH30" s="95">
        <v>0.5918108706562526</v>
      </c>
      <c r="AI30" s="99">
        <v>1.5838136688873363</v>
      </c>
      <c r="AJ30" s="99">
        <v>0.91008080619852705</v>
      </c>
      <c r="AK30" s="99">
        <v>1.3509249013363422</v>
      </c>
      <c r="AL30" s="99">
        <v>0.5918108706562526</v>
      </c>
      <c r="AM30" s="100">
        <v>0.92351513212033831</v>
      </c>
      <c r="AN30" s="103">
        <f>'aij-UNIFAC (VLE)'!$X17*(1-LN(V30)-AH30)</f>
        <v>4.4603116105873077</v>
      </c>
      <c r="AO30" s="104">
        <f>'aij-UNIFAC (VLE)'!$X17*(1-LN(W30)-AI30)</f>
        <v>0.3020061899899007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3.7607230056995347</v>
      </c>
    </row>
    <row r="31" spans="1:49" s="72" customFormat="1" ht="10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5.7599999999999998E-2</v>
      </c>
      <c r="I31" s="36" t="str">
        <f t="shared" si="0"/>
        <v>CH3OH</v>
      </c>
      <c r="J31" s="95">
        <f t="shared" si="1"/>
        <v>0</v>
      </c>
      <c r="K31" s="96">
        <f t="shared" si="2"/>
        <v>1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1.0084033613445379E-2</v>
      </c>
      <c r="P31" s="95">
        <f>J31*'aij-UNIFAC (VLE)'!$X18/J$43</f>
        <v>0</v>
      </c>
      <c r="Q31" s="96">
        <f>K31*'aij-UNIFAC (VLE)'!$X18/K$43</f>
        <v>1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2.6303221777304278E-2</v>
      </c>
      <c r="V31" s="95">
        <v>9.6479931281565207E-2</v>
      </c>
      <c r="W31" s="96">
        <v>1</v>
      </c>
      <c r="X31" s="96">
        <v>0.20118381498930404</v>
      </c>
      <c r="Y31" s="99">
        <v>0.78612463187156723</v>
      </c>
      <c r="Z31" s="99">
        <v>9.6479931281565207E-2</v>
      </c>
      <c r="AA31" s="100">
        <v>0.12024542002931139</v>
      </c>
      <c r="AB31" s="216">
        <f t="shared" si="7"/>
        <v>0</v>
      </c>
      <c r="AC31" s="217">
        <f t="shared" si="8"/>
        <v>1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0.21874614243846063</v>
      </c>
      <c r="AH31" s="95">
        <v>0.94613046106461629</v>
      </c>
      <c r="AI31" s="99">
        <v>1</v>
      </c>
      <c r="AJ31" s="99">
        <v>2.4783907121321302</v>
      </c>
      <c r="AK31" s="99">
        <v>1.0419598875483618</v>
      </c>
      <c r="AL31" s="99">
        <v>0.94613046106461629</v>
      </c>
      <c r="AM31" s="100">
        <v>1.1412975263548424</v>
      </c>
      <c r="AN31" s="103">
        <f>'aij-UNIFAC (VLE)'!$X18*(1-LN(V31)-AH31)</f>
        <v>3.4257589895827376</v>
      </c>
      <c r="AO31" s="104">
        <f>'aij-UNIFAC (VLE)'!$X18*(1-LN(W31)-AI31)</f>
        <v>0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2.8309536378236388</v>
      </c>
    </row>
    <row r="32" spans="1:49" s="72" customFormat="1" ht="12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1.2027090151659613E-2</v>
      </c>
      <c r="W32" s="96">
        <v>1.8350596259368412</v>
      </c>
      <c r="X32" s="96">
        <v>0.59144182361423447</v>
      </c>
      <c r="Y32" s="99">
        <v>0.14812693782011668</v>
      </c>
      <c r="Z32" s="99">
        <v>1.2027090151659613E-2</v>
      </c>
      <c r="AA32" s="100">
        <v>5.9978719247658643E-2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0.36560384210985092</v>
      </c>
      <c r="AI32" s="99">
        <v>0.37858178248020219</v>
      </c>
      <c r="AJ32" s="99">
        <v>1.2138626557274934</v>
      </c>
      <c r="AK32" s="99">
        <v>2.3106898820211139</v>
      </c>
      <c r="AL32" s="99">
        <v>0.36560384210985092</v>
      </c>
      <c r="AM32" s="100">
        <v>0.43930571690819281</v>
      </c>
      <c r="AN32" s="103">
        <f>'aij-UNIFAC (VLE)'!$X19*(1-LN(V32)-AH32)</f>
        <v>7.0769857463187211</v>
      </c>
      <c r="AO32" s="104">
        <f>'aij-UNIFAC (VLE)'!$X19*(1-LN(W32)-AI32)</f>
        <v>2.0077739979670647E-2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4.7242436387595097</v>
      </c>
      <c r="AT32" s="202"/>
      <c r="AU32" s="202"/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1.1436973211762848E-2</v>
      </c>
      <c r="W33" s="96">
        <v>1.4064987657394561</v>
      </c>
      <c r="X33" s="96">
        <v>0.49229570390838873</v>
      </c>
      <c r="Y33" s="99">
        <v>1.1140426653864903</v>
      </c>
      <c r="Z33" s="99">
        <v>1.1436973211762848E-2</v>
      </c>
      <c r="AA33" s="100">
        <v>4.8131592933662412E-2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0.39651645716218614</v>
      </c>
      <c r="AI33" s="99">
        <v>2.4338762681067143</v>
      </c>
      <c r="AJ33" s="99">
        <v>0.52959308454671894</v>
      </c>
      <c r="AK33" s="99">
        <v>4.6257138623644272</v>
      </c>
      <c r="AL33" s="99">
        <v>0.39651645716218614</v>
      </c>
      <c r="AM33" s="100">
        <v>0.91903568069230035</v>
      </c>
      <c r="AN33" s="103">
        <f>'aij-UNIFAC (VLE)'!$X20*(1-LN(V33)-AH33)</f>
        <v>3.4505834661815333</v>
      </c>
      <c r="AO33" s="104">
        <f>'aij-UNIFAC (VLE)'!$X20*(1-LN(W33)-AI33)</f>
        <v>-1.2069862228693324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2.1180509569477661</v>
      </c>
      <c r="AT33" s="202"/>
      <c r="AU33" s="202"/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0.20233036858676409</v>
      </c>
      <c r="W34" s="96">
        <v>0.92454787531439342</v>
      </c>
      <c r="X34" s="96">
        <v>1.379826956003839</v>
      </c>
      <c r="Y34" s="99">
        <v>0.45834648710020293</v>
      </c>
      <c r="Z34" s="99">
        <v>0.20233036858676409</v>
      </c>
      <c r="AA34" s="100">
        <v>0.22132701583767264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0.91415651555016475</v>
      </c>
      <c r="AI34" s="99">
        <v>0.69448717293817275</v>
      </c>
      <c r="AJ34" s="99">
        <v>0.79416829696741542</v>
      </c>
      <c r="AK34" s="99">
        <v>1.1573204488162152</v>
      </c>
      <c r="AL34" s="99">
        <v>0.91415651555016475</v>
      </c>
      <c r="AM34" s="100">
        <v>1.0432906700737659</v>
      </c>
      <c r="AN34" s="103">
        <f>'aij-UNIFAC (VLE)'!$X21*(1-LN(V34)-AH34)</f>
        <v>2.50534100793028</v>
      </c>
      <c r="AO34" s="104">
        <f>'aij-UNIFAC (VLE)'!$X21*(1-LN(W34)-AI34)</f>
        <v>0.57133734794587931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2.1796570576173133</v>
      </c>
      <c r="AT34" s="202"/>
      <c r="AU34" s="202"/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0.10324307431131721</v>
      </c>
      <c r="W35" s="96">
        <v>0.35783952917999828</v>
      </c>
      <c r="X35" s="96">
        <v>0.87122069532215618</v>
      </c>
      <c r="Y35" s="99">
        <v>0.97325381216471885</v>
      </c>
      <c r="Z35" s="99">
        <v>0.10324307431131721</v>
      </c>
      <c r="AA35" s="100">
        <v>0.10993978132744356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0.1833925922828181</v>
      </c>
      <c r="AI35" s="99">
        <v>3.1300105998451251</v>
      </c>
      <c r="AJ35" s="99">
        <v>0.30832776533852768</v>
      </c>
      <c r="AK35" s="99">
        <v>0.28404404164935038</v>
      </c>
      <c r="AL35" s="99">
        <v>0.1833925922828181</v>
      </c>
      <c r="AM35" s="100">
        <v>0.86349990146485744</v>
      </c>
      <c r="AN35" s="103">
        <f>'aij-UNIFAC (VLE)'!$X22*(1-LN(V35)-AH35)</f>
        <v>2.9267381542281141</v>
      </c>
      <c r="AO35" s="104">
        <f>'aij-UNIFAC (VLE)'!$X22*(1-LN(W35)-AI35)</f>
        <v>-1.0450182861175423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2.2224178286905851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0.45910918816932877</v>
      </c>
      <c r="W36" s="96">
        <v>1.0366092562639033</v>
      </c>
      <c r="X36" s="96">
        <v>1.3509551951326486</v>
      </c>
      <c r="Y36" s="99">
        <v>0.57656284386655121</v>
      </c>
      <c r="Z36" s="99">
        <v>0.45910918816932877</v>
      </c>
      <c r="AA36" s="100">
        <v>0.47429930053682867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0.68042267930686384</v>
      </c>
      <c r="AI36" s="99">
        <v>0.43293724071513062</v>
      </c>
      <c r="AJ36" s="99">
        <v>0.61819394101184233</v>
      </c>
      <c r="AK36" s="99">
        <v>0.87138229723735938</v>
      </c>
      <c r="AL36" s="99">
        <v>0.68042267930686384</v>
      </c>
      <c r="AM36" s="100">
        <v>0.75816881436032257</v>
      </c>
      <c r="AN36" s="103">
        <f>'aij-UNIFAC (VLE)'!$X23*(1-LN(V36)-AH36)</f>
        <v>1.8974209567953384</v>
      </c>
      <c r="AO36" s="104">
        <f>'aij-UNIFAC (VLE)'!$X23*(1-LN(W36)-AI36)</f>
        <v>0.91775411096560267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1.7068283823744457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0.26898559952503881</v>
      </c>
      <c r="W37" s="96">
        <v>0.29966259967757253</v>
      </c>
      <c r="X37" s="96">
        <v>0.61154364936476036</v>
      </c>
      <c r="Y37" s="99">
        <v>0.59469427246946549</v>
      </c>
      <c r="Z37" s="99">
        <v>0.26898559952503881</v>
      </c>
      <c r="AA37" s="100">
        <v>0.26979250346351324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1.1076386654561763</v>
      </c>
      <c r="AI37" s="99">
        <v>5.0310550649808627</v>
      </c>
      <c r="AJ37" s="99">
        <v>1.7388038421627621</v>
      </c>
      <c r="AK37" s="99">
        <v>2.8988474463340026</v>
      </c>
      <c r="AL37" s="99">
        <v>1.1076386654561763</v>
      </c>
      <c r="AM37" s="100">
        <v>2.1805584346244151</v>
      </c>
      <c r="AN37" s="103">
        <f>'aij-UNIFAC (VLE)'!$X24*(1-LN(V37)-AH37)</f>
        <v>1.4899470381394662</v>
      </c>
      <c r="AO37" s="104">
        <f>'aij-UNIFAC (VLE)'!$X24*(1-LN(W37)-AI37)</f>
        <v>-3.4928828025601835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0.16011599651637057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4.5591092046142444E-2</v>
      </c>
      <c r="W38" s="217">
        <v>0.19350308024444521</v>
      </c>
      <c r="X38" s="217">
        <v>0.11366519662625912</v>
      </c>
      <c r="Y38" s="217">
        <v>0.57720289740292297</v>
      </c>
      <c r="Z38" s="217">
        <v>4.5591092046142444E-2</v>
      </c>
      <c r="AA38" s="215">
        <v>4.9481653875244412E-2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2.1922873852175999E-2</v>
      </c>
      <c r="AI38" s="217">
        <v>1.4860317927754383</v>
      </c>
      <c r="AJ38" s="217">
        <v>3.3791081038765491</v>
      </c>
      <c r="AK38" s="217">
        <v>1.031586151716448</v>
      </c>
      <c r="AL38" s="217">
        <v>2.1922873852175999E-2</v>
      </c>
      <c r="AM38" s="215">
        <v>0.3464402431493</v>
      </c>
      <c r="AN38" s="103">
        <f>'aij-UNIFAC (VLE)'!$X25*(1-LN(V38)-AH38)</f>
        <v>3.3179539669674805</v>
      </c>
      <c r="AO38" s="104">
        <f>'aij-UNIFAC (VLE)'!$X25*(1-LN(W38)-AI38)</f>
        <v>0.94364692511469539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2.9863258600126201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1.7507002801120447E-21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3.9032364718415916E-21</v>
      </c>
      <c r="V39" s="216">
        <v>0.1080252908851002</v>
      </c>
      <c r="W39" s="217">
        <v>1.9689714893787695</v>
      </c>
      <c r="X39" s="217">
        <v>0.52601037662653871</v>
      </c>
      <c r="Y39" s="217">
        <v>0.29581053808429919</v>
      </c>
      <c r="Z39" s="217">
        <v>0.1080252908851002</v>
      </c>
      <c r="AA39" s="215">
        <v>0.15697417145971049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2.4865469494409207E-20</v>
      </c>
      <c r="AH39" s="216">
        <v>0.34731560710181775</v>
      </c>
      <c r="AI39" s="217">
        <v>0.31991665043566153</v>
      </c>
      <c r="AJ39" s="217">
        <v>1.156750960446602</v>
      </c>
      <c r="AK39" s="217">
        <v>1.8218302610282484</v>
      </c>
      <c r="AL39" s="217">
        <v>0.34731560710181775</v>
      </c>
      <c r="AM39" s="215">
        <v>0.40864048249754142</v>
      </c>
      <c r="AN39" s="103">
        <f>'aij-UNIFAC (VLE)'!$X26*(1-LN(V39)-AH39)</f>
        <v>3.5227629399058658</v>
      </c>
      <c r="AO39" s="104">
        <f>'aij-UNIFAC (VLE)'!$X26*(1-LN(W39)-AI39)</f>
        <v>3.148164424858576E-3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2.9902730256225833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0.83500971160986082</v>
      </c>
      <c r="W40" s="217">
        <v>1.4102777693888271</v>
      </c>
      <c r="X40" s="217">
        <v>0.98812070393732288</v>
      </c>
      <c r="Y40" s="217">
        <v>0.82033522259938541</v>
      </c>
      <c r="Z40" s="217">
        <v>0.83500971160986082</v>
      </c>
      <c r="AA40" s="215">
        <v>0.85014111491501998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0.89192613295238909</v>
      </c>
      <c r="AI40" s="217">
        <v>0.10573116247022901</v>
      </c>
      <c r="AJ40" s="217">
        <v>0.82682065592221032</v>
      </c>
      <c r="AK40" s="217">
        <v>0.75352463486109678</v>
      </c>
      <c r="AL40" s="217">
        <v>0.89192613295238909</v>
      </c>
      <c r="AM40" s="215">
        <v>0.892826197869518</v>
      </c>
      <c r="AN40" s="103">
        <f>'aij-UNIFAC (VLE)'!$X27*(1-LN(V40)-AH40)</f>
        <v>0.41758262475410057</v>
      </c>
      <c r="AO40" s="104">
        <f>'aij-UNIFAC (VLE)'!$X27*(1-LN(W40)-AI40)</f>
        <v>0.79709815750782398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0.39027470194209435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0.9198772799238939</v>
      </c>
      <c r="W41" s="217">
        <v>1.5960788315258969</v>
      </c>
      <c r="X41" s="217">
        <v>0.89909839911663192</v>
      </c>
      <c r="Y41" s="217">
        <v>1.1377292630095184</v>
      </c>
      <c r="Z41" s="217">
        <v>0.9198772799238939</v>
      </c>
      <c r="AA41" s="215">
        <v>0.93766355930183864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0.88418195758547224</v>
      </c>
      <c r="AI41" s="217">
        <v>0.11337072616001936</v>
      </c>
      <c r="AJ41" s="217">
        <v>0.84107387810592704</v>
      </c>
      <c r="AK41" s="217">
        <v>0.66453531029506518</v>
      </c>
      <c r="AL41" s="217">
        <v>0.88418195758547224</v>
      </c>
      <c r="AM41" s="215">
        <v>0.88694614476704337</v>
      </c>
      <c r="AN41" s="103">
        <f>'aij-UNIFAC (VLE)'!$X28*(1-LN(V41)-AH41)</f>
        <v>0.43534338477755152</v>
      </c>
      <c r="AO41" s="104">
        <f>'aij-UNIFAC (VLE)'!$X28*(1-LN(W41)-AI41)</f>
        <v>0.91526937213460413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0.38748075547747496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0.2787207596100813</v>
      </c>
      <c r="W42" s="220">
        <v>1</v>
      </c>
      <c r="X42" s="220">
        <v>1.5293860873730512</v>
      </c>
      <c r="Y42" s="220">
        <v>1.8231530103147302</v>
      </c>
      <c r="Z42" s="220">
        <v>0.2787207596100813</v>
      </c>
      <c r="AA42" s="218">
        <v>0.29769272743342284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0.91045405745338392</v>
      </c>
      <c r="AI42" s="220">
        <v>1</v>
      </c>
      <c r="AJ42" s="220">
        <v>1.8245499330475901</v>
      </c>
      <c r="AK42" s="220">
        <v>0.85752174774019463</v>
      </c>
      <c r="AL42" s="220">
        <v>0.91045405745338392</v>
      </c>
      <c r="AM42" s="218">
        <v>1.1065102355116043</v>
      </c>
      <c r="AN42" s="115">
        <f>'aij-UNIFAC (VLE)'!$X29*(1-LN(V42)-AH42)</f>
        <v>2.4771685341597709</v>
      </c>
      <c r="AO42" s="116">
        <f>'aij-UNIFAC (VLE)'!$X29*(1-LN(W42)-AI42)</f>
        <v>0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2.0025919673262051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141</v>
      </c>
      <c r="C43" s="83">
        <f>C21*SUM(C23:C42)</f>
        <v>5.6543999999999999</v>
      </c>
      <c r="D43" s="83">
        <f>D21*SUM(D23:D42)</f>
        <v>5.7599999999999998E-2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5.7119999999999997</v>
      </c>
      <c r="I43" s="118" t="s">
        <v>142</v>
      </c>
      <c r="J43" s="36">
        <f t="array" ref="J43">SUM(J23:J42*_Q)</f>
        <v>0.54</v>
      </c>
      <c r="K43" s="36">
        <f t="array" ref="K43">SUM(K23:K42*_Q)</f>
        <v>1.4319999999999999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0.54899495798319342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143</v>
      </c>
      <c r="C44" s="119">
        <f>SUM(C23:C42)</f>
        <v>6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3.24</v>
      </c>
      <c r="D46" s="58">
        <f t="array" ref="D46">SUM(D23:D42*_Q)</f>
        <v>1.4319999999999999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4.0464000000000002</v>
      </c>
      <c r="D47" s="58">
        <f t="array" ref="D47">SUM(D23:D42*_R)</f>
        <v>1.4311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144</v>
      </c>
      <c r="C48" s="58">
        <f>C21*C46/SUMPRODUCT($C46:$G46,$C21:$G21)</f>
        <v>0.97369677822269574</v>
      </c>
      <c r="D48" s="58">
        <f>D21*D46/SUMPRODUCT($C46:$G46,$C21:$G21)</f>
        <v>2.6303221777304285E-2</v>
      </c>
      <c r="E48" s="58">
        <f>E21*E46/SUMPRODUCT($C46:$G46,$C21:$G21)</f>
        <v>8.3294556082109812E-21</v>
      </c>
      <c r="F48" s="58">
        <f>F21*F46/SUMPRODUCT($C46:$G46,$C21:$G21)</f>
        <v>8.2529215597434982E-21</v>
      </c>
      <c r="G48" s="58">
        <f>G21*G46/SUMPRODUCT($C46:$G46,$C21:$G21)</f>
        <v>1.0574454363257126E-20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145</v>
      </c>
      <c r="C49" s="58">
        <f>C21*C47/SUMPRODUCT($C47:$G47,$C21:$G21)</f>
        <v>0.97884074299139345</v>
      </c>
      <c r="D49" s="58">
        <f>D21*D47/SUMPRODUCT($C47:$G47,$C21:$G21)</f>
        <v>2.1159257008606526E-2</v>
      </c>
      <c r="E49" s="58">
        <f>E21*E47/SUMPRODUCT($C47:$G47,$C21:$G21)</f>
        <v>7.3844408926844406E-21</v>
      </c>
      <c r="F49" s="58">
        <f>F21*F47/SUMPRODUCT($C47:$G47,$C21:$G21)</f>
        <v>6.6110357060305814E-21</v>
      </c>
      <c r="G49" s="58">
        <f>G21*G47/SUMPRODUCT($C47:$G47,$C21:$G21)</f>
        <v>9.8193966180739232E-21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146</v>
      </c>
      <c r="C50" s="58">
        <f>LN(C49/C21)+(1-C49/C21)-5*C46*(LN(C49/C48)+(1-C49/C48))</f>
        <v>-5.0360569206876651E-4</v>
      </c>
      <c r="D50" s="58">
        <f>LN(D49/D21)+(1-D49/D21)-5*D46*(LN(D49/D48)+(1-D49/D48))</f>
        <v>-0.21091613016435501</v>
      </c>
      <c r="E50" s="58">
        <f>LN(E49/E21)+(1-E49/E21)-5*E46*(LN(E49/E48)+(1-E49/E48))</f>
        <v>4.9352502800214165E-2</v>
      </c>
      <c r="F50" s="58">
        <f>LN(F49/F21)+(1-F49/F21)-5*F46*(LN(F49/F48)+(1-F49/F48))</f>
        <v>0.22113079771267341</v>
      </c>
      <c r="G50" s="58">
        <f>LN(G49/G21)+(1-G49/G21)-5*G46*(LN(G49/G48)+(1-G49/G48))</f>
        <v>4.4227981658508428E-2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147</v>
      </c>
      <c r="C51" s="58">
        <f t="array" ref="C51">SUM(C23:C42*AN23:AN42)</f>
        <v>0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148</v>
      </c>
      <c r="C52" s="58">
        <f t="array" ref="C52">SUM(C23:C42*$AS23:$AS42)</f>
        <v>1.696116108172948E-2</v>
      </c>
      <c r="D52" s="58">
        <f t="array" ref="D52">SUM(D23:D42*$AS23:$AS42)</f>
        <v>2.8309536378236388</v>
      </c>
      <c r="E52" s="58">
        <f t="array" ref="E52">SUM(E23:E42*$AS23:$AS42)</f>
        <v>2.9975391032711762</v>
      </c>
      <c r="F52" s="58">
        <f t="array" ref="F52">SUM(F23:F42*$AS23:$AS42)</f>
        <v>3.7679890833481275</v>
      </c>
      <c r="G52" s="58">
        <f t="array" ref="G52">SUM(G23:G42*$AS23:$AS42)</f>
        <v>1.735901547747375E-2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265</v>
      </c>
    </row>
    <row r="2" spans="1:45" s="221" customFormat="1">
      <c r="A2" s="221" t="s">
        <v>266</v>
      </c>
    </row>
    <row r="3" spans="1:45" s="221" customFormat="1">
      <c r="T3" s="221" t="s">
        <v>267</v>
      </c>
    </row>
    <row r="4" spans="1:45" s="221" customFormat="1">
      <c r="A4" s="223" t="s">
        <v>268</v>
      </c>
      <c r="T4" s="221" t="s">
        <v>269</v>
      </c>
    </row>
    <row r="5" spans="1:45" s="221" customFormat="1">
      <c r="A5" s="221" t="s">
        <v>152</v>
      </c>
    </row>
    <row r="6" spans="1:45" s="221" customFormat="1">
      <c r="A6" s="221" t="s">
        <v>270</v>
      </c>
      <c r="F6" s="224"/>
      <c r="G6" s="224"/>
      <c r="T6" s="225" t="s">
        <v>154</v>
      </c>
      <c r="U6" s="221">
        <f>'UNIFAC (VLE)'!C10</f>
        <v>25</v>
      </c>
      <c r="V6" s="221" t="s">
        <v>127</v>
      </c>
    </row>
    <row r="7" spans="1:45">
      <c r="A7" s="222" t="s">
        <v>271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296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272</v>
      </c>
      <c r="F8" s="224"/>
      <c r="G8" s="224"/>
      <c r="H8" s="224"/>
      <c r="I8" s="224"/>
      <c r="J8" s="224"/>
      <c r="K8" s="224"/>
      <c r="L8" s="224"/>
      <c r="M8" s="224"/>
      <c r="T8" s="228" t="s">
        <v>273</v>
      </c>
      <c r="U8" s="229" t="s">
        <v>156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157</v>
      </c>
      <c r="U9" s="225" t="s">
        <v>157</v>
      </c>
      <c r="V9" s="224"/>
      <c r="W9" s="231" t="s">
        <v>158</v>
      </c>
      <c r="X9" s="232" t="s">
        <v>133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274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275</v>
      </c>
    </row>
    <row r="31" spans="1:45">
      <c r="A31" s="222" t="s">
        <v>276</v>
      </c>
    </row>
    <row r="32" spans="1:45" ht="14">
      <c r="A32" s="222" t="s">
        <v>277</v>
      </c>
      <c r="T32" s="222"/>
      <c r="V32" s="221" t="s">
        <v>297</v>
      </c>
    </row>
    <row r="33" spans="1:64">
      <c r="A33" s="254"/>
      <c r="C33" s="250"/>
      <c r="D33" s="250"/>
      <c r="E33" s="250"/>
      <c r="T33" s="222"/>
      <c r="V33" s="221" t="s">
        <v>269</v>
      </c>
    </row>
    <row r="34" spans="1:64" ht="14">
      <c r="A34" s="222" t="s">
        <v>264</v>
      </c>
      <c r="B34" s="222" t="s">
        <v>278</v>
      </c>
      <c r="D34" s="222" t="s">
        <v>158</v>
      </c>
      <c r="E34" s="222" t="s">
        <v>133</v>
      </c>
      <c r="U34" s="225"/>
      <c r="V34" s="256" t="s">
        <v>279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159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160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161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127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280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281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282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283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284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162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285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164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163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286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165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287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167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168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169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288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170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171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289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290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172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173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291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174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292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topLeftCell="A5" zoomScale="150" zoomScaleNormal="150" zoomScalePageLayoutView="150" workbookViewId="0">
      <selection activeCell="E25" sqref="E25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302</v>
      </c>
      <c r="B1" s="144"/>
      <c r="C1" s="144"/>
    </row>
    <row r="2" spans="1:47">
      <c r="A2" s="144" t="s">
        <v>106</v>
      </c>
      <c r="B2" s="144"/>
      <c r="C2" s="144"/>
    </row>
    <row r="3" spans="1:47">
      <c r="A3" s="144" t="s">
        <v>107</v>
      </c>
      <c r="B3" s="144"/>
      <c r="C3" s="144"/>
    </row>
    <row r="4" spans="1:47">
      <c r="A4" s="144" t="s">
        <v>303</v>
      </c>
      <c r="B4" s="144"/>
      <c r="C4" s="144"/>
    </row>
    <row r="5" spans="1:47">
      <c r="A5" s="144" t="s">
        <v>108</v>
      </c>
      <c r="B5" s="144"/>
      <c r="C5" s="144"/>
    </row>
    <row r="6" spans="1:47">
      <c r="A6" s="144" t="s">
        <v>109</v>
      </c>
      <c r="B6" s="144"/>
      <c r="C6" s="144"/>
    </row>
    <row r="7" spans="1:47">
      <c r="A7" s="144" t="s">
        <v>110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111</v>
      </c>
      <c r="E9" s="47" t="s">
        <v>112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113</v>
      </c>
      <c r="B10" s="144">
        <f t="array" ref="B10">SUM(B22:F22*B23:F23*B17:F17)</f>
        <v>23.686413553095232</v>
      </c>
      <c r="C10" s="144" t="s">
        <v>114</v>
      </c>
      <c r="D10" s="48" t="s">
        <v>115</v>
      </c>
      <c r="E10" s="49"/>
      <c r="F10" s="49"/>
      <c r="G10" s="49"/>
      <c r="X10" s="35"/>
      <c r="AN10"/>
      <c r="AS10" s="188" t="s">
        <v>116</v>
      </c>
    </row>
    <row r="11" spans="1:47">
      <c r="A11" s="144" t="s">
        <v>176</v>
      </c>
      <c r="B11" s="145">
        <v>25</v>
      </c>
      <c r="C11" s="146" t="s">
        <v>117</v>
      </c>
      <c r="D11" s="50" t="s">
        <v>118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119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120</v>
      </c>
      <c r="C13" s="36" t="s">
        <v>121</v>
      </c>
      <c r="D13" s="36" t="s">
        <v>122</v>
      </c>
      <c r="E13" s="36" t="s">
        <v>123</v>
      </c>
      <c r="F13" s="36" t="s">
        <v>124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246</v>
      </c>
    </row>
    <row r="14" spans="1:47" s="72" customFormat="1" ht="10">
      <c r="A14" s="35" t="s">
        <v>125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247</v>
      </c>
    </row>
    <row r="15" spans="1:47" s="72" customFormat="1" ht="10">
      <c r="A15" s="35" t="s">
        <v>126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245</v>
      </c>
    </row>
    <row r="16" spans="1:47" s="72" customFormat="1" ht="10">
      <c r="A16" s="35" t="s">
        <v>127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244</v>
      </c>
    </row>
    <row r="17" spans="1:49" s="35" customFormat="1" ht="11">
      <c r="A17" s="35" t="s">
        <v>128</v>
      </c>
      <c r="B17" s="57">
        <f>10^(B14-B15/(B16+TC.))</f>
        <v>9.4024636752755228E-2</v>
      </c>
      <c r="C17" s="57">
        <f>10^(C14-C15/(C16+TC.))</f>
        <v>1</v>
      </c>
      <c r="D17" s="57">
        <f>10^(D14-D15/(D16+TC.))</f>
        <v>23.686413553095228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129</v>
      </c>
      <c r="B18" s="191">
        <f>B22*B23*B17/$B$10</f>
        <v>1.8112275452400545E-19</v>
      </c>
      <c r="C18" s="191">
        <f>C22*C23*C17/$B$10</f>
        <v>1.0225151465944035E-16</v>
      </c>
      <c r="D18" s="191">
        <f>D22*D23*D17/$B$10</f>
        <v>0.99999999999999989</v>
      </c>
      <c r="E18" s="191">
        <f>E22*E23*E17/$B$10</f>
        <v>1.2466226170014822E-17</v>
      </c>
      <c r="F18" s="191">
        <f>F22*F23*F17/$B$10</f>
        <v>4.6042894185616149E-21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236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123</v>
      </c>
      <c r="F20" s="36" t="s">
        <v>124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65</v>
      </c>
    </row>
    <row r="21" spans="1:49" s="72" customFormat="1" ht="12">
      <c r="A21" s="35"/>
      <c r="B21" s="53" t="s">
        <v>344</v>
      </c>
      <c r="C21" s="53" t="s">
        <v>345</v>
      </c>
      <c r="D21" s="53" t="s">
        <v>79</v>
      </c>
      <c r="E21" s="54" t="s">
        <v>347</v>
      </c>
      <c r="F21" s="53" t="s">
        <v>346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67</v>
      </c>
    </row>
    <row r="22" spans="1:49" s="72" customFormat="1" ht="14">
      <c r="A22" s="72" t="s">
        <v>83</v>
      </c>
      <c r="B22" s="55">
        <v>9.9999999999999995E-21</v>
      </c>
      <c r="C22" s="55">
        <v>9.9999999999999995E-21</v>
      </c>
      <c r="D22" s="55">
        <v>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132</v>
      </c>
      <c r="L22" s="36"/>
      <c r="M22"/>
      <c r="N22"/>
      <c r="O22"/>
      <c r="P22"/>
      <c r="Q22" s="80" t="s">
        <v>133</v>
      </c>
      <c r="R22" s="36"/>
      <c r="S22" s="36"/>
      <c r="T22" s="36"/>
      <c r="U22"/>
      <c r="V22" s="35"/>
      <c r="W22" s="81" t="s">
        <v>134</v>
      </c>
      <c r="X22" s="36"/>
      <c r="Y22" s="35"/>
      <c r="Z22" s="35"/>
      <c r="AA22"/>
      <c r="AB22" s="36"/>
      <c r="AC22" s="81" t="s">
        <v>135</v>
      </c>
      <c r="AD22" s="35"/>
      <c r="AE22" s="35"/>
      <c r="AF22" s="35"/>
      <c r="AG22" s="36"/>
      <c r="AH22" s="36"/>
      <c r="AI22" s="81" t="s">
        <v>136</v>
      </c>
      <c r="AJ22" s="35"/>
      <c r="AK22" s="35"/>
      <c r="AM22"/>
      <c r="AO22" s="72" t="s">
        <v>137</v>
      </c>
      <c r="AS22" s="35"/>
      <c r="AT22" s="35" t="s">
        <v>68</v>
      </c>
    </row>
    <row r="23" spans="1:49" s="72" customFormat="1" ht="11">
      <c r="A23" s="82" t="s">
        <v>138</v>
      </c>
      <c r="B23" s="56">
        <f>EXP(B51-B50+B49)</f>
        <v>4562.7918550885852</v>
      </c>
      <c r="C23" s="56">
        <f>EXP(C51-C50+C49)</f>
        <v>242197.1662653884</v>
      </c>
      <c r="D23" s="56">
        <f>EXP(D51-D50+D49)</f>
        <v>1</v>
      </c>
      <c r="E23" s="56">
        <f>EXP(E51-E50+E49)</f>
        <v>29528.018850938955</v>
      </c>
      <c r="F23" s="56">
        <f>EXP(F51-F50+F49)</f>
        <v>10.905910328619079</v>
      </c>
      <c r="G23" s="82" t="s">
        <v>139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140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140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140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140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140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140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>
        <v>1</v>
      </c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3.9999999999999998E-20</v>
      </c>
      <c r="H24" s="36" t="str">
        <f t="shared" ref="H24:H41" si="0">A24</f>
        <v>CH3</v>
      </c>
      <c r="I24" s="84">
        <f t="shared" ref="I24:M35" si="1">B24/B$43</f>
        <v>0.1111111111111111</v>
      </c>
      <c r="J24" s="85">
        <f t="shared" si="1"/>
        <v>0.125</v>
      </c>
      <c r="K24" s="85">
        <f t="shared" si="1"/>
        <v>0</v>
      </c>
      <c r="L24" s="85">
        <f t="shared" si="1"/>
        <v>0.14285714285714285</v>
      </c>
      <c r="M24" s="85">
        <f t="shared" si="1"/>
        <v>1</v>
      </c>
      <c r="N24" s="86">
        <f t="shared" ref="N24:N35" si="2">G24/$G$42</f>
        <v>3.9999999999999998E-20</v>
      </c>
      <c r="O24" s="84">
        <f>I24*'aij-UNIFAC (LLE)'!$D10/I$42</f>
        <v>0.14550446122168839</v>
      </c>
      <c r="P24" s="85">
        <f>J24*'aij-UNIFAC (LLE)'!$D10/J$42</f>
        <v>0.19684308263695449</v>
      </c>
      <c r="Q24" s="85">
        <f>K24*'aij-UNIFAC (LLE)'!$D10/K$42</f>
        <v>0</v>
      </c>
      <c r="R24" s="85">
        <f>L24*'aij-UNIFAC (LLE)'!$D10/L$42</f>
        <v>0.24173318129988591</v>
      </c>
      <c r="S24" s="85">
        <f>M24*'aij-UNIFAC (LLE)'!$D10/M$42</f>
        <v>1</v>
      </c>
      <c r="T24" s="87">
        <f>N24*'aij-UNIFAC (LLE)'!$D10/N$42</f>
        <v>2.4228571428571429E-20</v>
      </c>
      <c r="U24" s="84">
        <f t="array" ref="U24:Z41">MMULT(TRANSPOSE(tauL),O24:T41)</f>
        <v>0.86258246124719329</v>
      </c>
      <c r="V24" s="88">
        <v>0.75780407426268126</v>
      </c>
      <c r="W24" s="85">
        <v>0.31713896453518281</v>
      </c>
      <c r="X24" s="85">
        <v>0.71158633622681877</v>
      </c>
      <c r="Y24" s="88">
        <v>1</v>
      </c>
      <c r="Z24" s="89">
        <v>0.31713896453518281</v>
      </c>
      <c r="AA24" s="90">
        <f t="shared" ref="AA24:AF39" si="3">O24/U24</f>
        <v>0.16868469712600692</v>
      </c>
      <c r="AB24" s="91">
        <f t="shared" si="3"/>
        <v>0.25975458475658952</v>
      </c>
      <c r="AC24" s="91">
        <f t="shared" si="3"/>
        <v>0</v>
      </c>
      <c r="AD24" s="91">
        <f t="shared" si="3"/>
        <v>0.33971026282161954</v>
      </c>
      <c r="AE24" s="91">
        <f t="shared" si="3"/>
        <v>1</v>
      </c>
      <c r="AF24" s="86">
        <f t="shared" si="3"/>
        <v>7.6397334096370722E-20</v>
      </c>
      <c r="AG24" s="84">
        <f t="array" ref="AG24:AL41">MMULT(tauL,AA24:AF41)</f>
        <v>1.0003167382412905</v>
      </c>
      <c r="AH24" s="85">
        <v>1.2852595002267069</v>
      </c>
      <c r="AI24" s="88">
        <v>1.2775559273734912E-2</v>
      </c>
      <c r="AJ24" s="88">
        <v>1.3378907262909103</v>
      </c>
      <c r="AK24" s="88">
        <v>1</v>
      </c>
      <c r="AL24" s="89">
        <v>1.2775559273734912E-2</v>
      </c>
      <c r="AM24" s="92">
        <f>'aij-UNIFAC (LLE)'!$D10*(1-LN(U24)-AG24)</f>
        <v>0.12508660520962211</v>
      </c>
      <c r="AN24" s="93">
        <f>'aij-UNIFAC (LLE)'!$D10*(1-LN(V24)-AH24)</f>
        <v>-6.7238736199420439E-3</v>
      </c>
      <c r="AO24" s="93">
        <f>'aij-UNIFAC (LLE)'!$D10*(1-LN(W24)-AI24)</f>
        <v>1.8110224384308249</v>
      </c>
      <c r="AP24" s="93">
        <f>'aij-UNIFAC (LLE)'!$D10*(1-LN(X24)-AJ24)</f>
        <v>2.0078931822006753E-3</v>
      </c>
      <c r="AQ24" s="93">
        <f>'aij-UNIFAC (LLE)'!$D10*(1-LN(Y24)-AK24)</f>
        <v>0</v>
      </c>
      <c r="AR24" s="94">
        <f>'aij-UNIFAC (LLE)'!$D10*(1-LN(Z24)-AL24)</f>
        <v>1.8110224384308249</v>
      </c>
      <c r="AS24" s="35"/>
      <c r="AT24" s="137" t="s">
        <v>230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>
        <v>7</v>
      </c>
      <c r="C25" s="57">
        <v>1</v>
      </c>
      <c r="D25" s="57"/>
      <c r="E25" s="57"/>
      <c r="F25" s="57"/>
      <c r="G25" s="83">
        <f t="array" ref="G25">SUM(B25:F25*$B$22:$F$22)</f>
        <v>7.9999999999999996E-20</v>
      </c>
      <c r="H25" s="36" t="str">
        <f t="shared" si="0"/>
        <v>CH2</v>
      </c>
      <c r="I25" s="95">
        <f t="shared" si="1"/>
        <v>0.77777777777777779</v>
      </c>
      <c r="J25" s="96">
        <f t="shared" si="1"/>
        <v>0.125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7">
        <f t="shared" si="2"/>
        <v>7.9999999999999996E-20</v>
      </c>
      <c r="O25" s="95">
        <f>I25*'aij-UNIFAC (LLE)'!$D11/I$42</f>
        <v>0.64859299931365821</v>
      </c>
      <c r="P25" s="96">
        <f>J25*'aij-UNIFAC (LLE)'!$D11/J$42</f>
        <v>0.12534818941504181</v>
      </c>
      <c r="Q25" s="96">
        <f>K25*'aij-UNIFAC (LLE)'!$D11/K$42</f>
        <v>0</v>
      </c>
      <c r="R25" s="96">
        <f>L25*'aij-UNIFAC (LLE)'!$D11/L$42</f>
        <v>0</v>
      </c>
      <c r="S25" s="96">
        <f>M25*'aij-UNIFAC (LLE)'!$D11/M$42</f>
        <v>0</v>
      </c>
      <c r="T25" s="98">
        <f>N25*'aij-UNIFAC (LLE)'!$D11/N$42</f>
        <v>3.0857142857142863E-20</v>
      </c>
      <c r="U25" s="95">
        <v>0.86258246124719329</v>
      </c>
      <c r="V25" s="99">
        <v>0.75780407426268126</v>
      </c>
      <c r="W25" s="96">
        <v>0.31713896453518281</v>
      </c>
      <c r="X25" s="96">
        <v>0.71158633622681877</v>
      </c>
      <c r="Y25" s="99">
        <v>1</v>
      </c>
      <c r="Z25" s="100">
        <v>0.31713896453518281</v>
      </c>
      <c r="AA25" s="101">
        <f t="shared" si="3"/>
        <v>0.75191999426451195</v>
      </c>
      <c r="AB25" s="102">
        <f t="shared" si="3"/>
        <v>0.16540975916103581</v>
      </c>
      <c r="AC25" s="102">
        <f t="shared" si="3"/>
        <v>0</v>
      </c>
      <c r="AD25" s="102">
        <f t="shared" si="3"/>
        <v>0</v>
      </c>
      <c r="AE25" s="102">
        <f t="shared" si="3"/>
        <v>0</v>
      </c>
      <c r="AF25" s="97">
        <f t="shared" si="3"/>
        <v>9.7298491537830656E-20</v>
      </c>
      <c r="AG25" s="95">
        <v>1.0003167382412905</v>
      </c>
      <c r="AH25" s="96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1.2775559273734912E-2</v>
      </c>
      <c r="AM25" s="103">
        <f>'aij-UNIFAC (LLE)'!$D11*(1-LN(U25)-AG25)</f>
        <v>7.9654206147636727E-2</v>
      </c>
      <c r="AN25" s="104">
        <f>'aij-UNIFAC (LLE)'!$D11*(1-LN(V25)-AH25)</f>
        <v>-4.2817119749630943E-3</v>
      </c>
      <c r="AO25" s="104">
        <f>'aij-UNIFAC (LLE)'!$D11*(1-LN(W25)-AI25)</f>
        <v>1.1532454206988745</v>
      </c>
      <c r="AP25" s="104">
        <f>'aij-UNIFAC (LLE)'!$D11*(1-LN(X25)-AJ25)</f>
        <v>1.278611224514581E-3</v>
      </c>
      <c r="AQ25" s="104">
        <f>'aij-UNIFAC (LLE)'!$D11*(1-LN(Y25)-AK25)</f>
        <v>0</v>
      </c>
      <c r="AR25" s="105">
        <f>'aij-UNIFAC (LLE)'!$D11*(1-LN(Z25)-AL25)</f>
        <v>1.1532454206988745</v>
      </c>
      <c r="AS25" s="35"/>
      <c r="AT25" s="137" t="s">
        <v>231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0.86258246124719329</v>
      </c>
      <c r="V26" s="99">
        <v>0.75780407426268126</v>
      </c>
      <c r="W26" s="99">
        <v>0.31713896453518281</v>
      </c>
      <c r="X26" s="99">
        <v>0.71158633622681877</v>
      </c>
      <c r="Y26" s="99">
        <v>1</v>
      </c>
      <c r="Z26" s="100">
        <v>0.31713896453518281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1.0003167382412905</v>
      </c>
      <c r="AH26" s="99">
        <v>1.2852595002267069</v>
      </c>
      <c r="AI26" s="99">
        <v>1.2775559273734912E-2</v>
      </c>
      <c r="AJ26" s="99">
        <v>1.3378907262909103</v>
      </c>
      <c r="AK26" s="99">
        <v>1</v>
      </c>
      <c r="AL26" s="100">
        <v>1.2775559273734912E-2</v>
      </c>
      <c r="AM26" s="103">
        <f>'aij-UNIFAC (LLE)'!$D12*(1-LN(U26)-AG26)</f>
        <v>3.3631775929002176E-2</v>
      </c>
      <c r="AN26" s="104">
        <f>'aij-UNIFAC (LLE)'!$D12*(1-LN(V26)-AH26)</f>
        <v>-1.8078339449844175E-3</v>
      </c>
      <c r="AO26" s="104">
        <f>'aij-UNIFAC (LLE)'!$D12*(1-LN(W26)-AI26)</f>
        <v>0.48692584429508029</v>
      </c>
      <c r="AP26" s="104">
        <f>'aij-UNIFAC (LLE)'!$D12*(1-LN(X26)-AJ26)</f>
        <v>5.3985807257282302E-4</v>
      </c>
      <c r="AQ26" s="104">
        <f>'aij-UNIFAC (LLE)'!$D12*(1-LN(Y26)-AK26)</f>
        <v>0</v>
      </c>
      <c r="AR26" s="105">
        <f>'aij-UNIFAC (LLE)'!$D12*(1-LN(Z26)-AL26)</f>
        <v>0.48692584429508029</v>
      </c>
      <c r="AS26" s="35"/>
      <c r="AT26" s="190" t="s">
        <v>232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>
        <v>4</v>
      </c>
      <c r="D27" s="57"/>
      <c r="E27" s="57">
        <v>5</v>
      </c>
      <c r="F27" s="57"/>
      <c r="G27" s="83">
        <f t="array" ref="G27">SUM(B27:F27*$B$22:$F$22)</f>
        <v>9.0000000000000003E-20</v>
      </c>
      <c r="H27" s="36" t="str">
        <f t="shared" si="0"/>
        <v>ACH</v>
      </c>
      <c r="I27" s="95">
        <f t="shared" si="1"/>
        <v>0</v>
      </c>
      <c r="J27" s="96">
        <f t="shared" si="1"/>
        <v>0.5</v>
      </c>
      <c r="K27" s="96">
        <f t="shared" si="1"/>
        <v>0</v>
      </c>
      <c r="L27" s="96">
        <f t="shared" si="1"/>
        <v>0.7142857142857143</v>
      </c>
      <c r="M27" s="96">
        <f t="shared" si="1"/>
        <v>0</v>
      </c>
      <c r="N27" s="97">
        <f t="shared" si="2"/>
        <v>9.0000000000000003E-20</v>
      </c>
      <c r="O27" s="95">
        <f>I27*'aij-UNIFAC (LLE)'!$D13/I$42</f>
        <v>0</v>
      </c>
      <c r="P27" s="96">
        <f>J27*'aij-UNIFAC (LLE)'!$D13/J$42</f>
        <v>0.37140204271123495</v>
      </c>
      <c r="Q27" s="96">
        <f>K27*'aij-UNIFAC (LLE)'!$D13/K$42</f>
        <v>0</v>
      </c>
      <c r="R27" s="96">
        <f>L27*'aij-UNIFAC (LLE)'!$D13/L$42</f>
        <v>0.5701254275940707</v>
      </c>
      <c r="S27" s="96">
        <f>M27*'aij-UNIFAC (LLE)'!$D13/M$42</f>
        <v>0</v>
      </c>
      <c r="T27" s="98">
        <f>N27*'aij-UNIFAC (LLE)'!$D13/N$42</f>
        <v>2.5714285714285719E-20</v>
      </c>
      <c r="U27" s="95">
        <v>1.3794271783865653</v>
      </c>
      <c r="V27" s="96">
        <v>1.3462575806205066</v>
      </c>
      <c r="W27" s="96">
        <v>0.2863967113010697</v>
      </c>
      <c r="X27" s="99">
        <v>1.2332293994061172</v>
      </c>
      <c r="Y27" s="99">
        <v>1.4696747042862897</v>
      </c>
      <c r="Z27" s="100">
        <v>0.2863967113010697</v>
      </c>
      <c r="AA27" s="101">
        <f t="shared" si="3"/>
        <v>0</v>
      </c>
      <c r="AB27" s="102">
        <f t="shared" si="3"/>
        <v>0.27587740121771587</v>
      </c>
      <c r="AC27" s="102">
        <f t="shared" si="3"/>
        <v>0</v>
      </c>
      <c r="AD27" s="102">
        <f t="shared" si="3"/>
        <v>0.46230281881750823</v>
      </c>
      <c r="AE27" s="102">
        <f t="shared" si="3"/>
        <v>0</v>
      </c>
      <c r="AF27" s="97">
        <f t="shared" si="3"/>
        <v>8.9785548156151877E-20</v>
      </c>
      <c r="AG27" s="95">
        <v>0.60997613832191244</v>
      </c>
      <c r="AH27" s="99">
        <v>0.70356004480191325</v>
      </c>
      <c r="AI27" s="99">
        <v>5.5997864440543062E-2</v>
      </c>
      <c r="AJ27" s="99">
        <v>0.78677617042954884</v>
      </c>
      <c r="AK27" s="99">
        <v>0.5916124096015547</v>
      </c>
      <c r="AL27" s="100">
        <v>5.5997864440543062E-2</v>
      </c>
      <c r="AM27" s="103">
        <f>'aij-UNIFAC (LLE)'!$D13*(1-LN(U27)-AG27)</f>
        <v>2.7342214723029869E-2</v>
      </c>
      <c r="AN27" s="104">
        <f>'aij-UNIFAC (LLE)'!$D13*(1-LN(V27)-AH27)</f>
        <v>-3.5545007616133439E-4</v>
      </c>
      <c r="AO27" s="104">
        <f>'aij-UNIFAC (LLE)'!$D13*(1-LN(W27)-AI27)</f>
        <v>0.87775178496334361</v>
      </c>
      <c r="AP27" s="104">
        <f>'aij-UNIFAC (LLE)'!$D13*(1-LN(X27)-AJ27)</f>
        <v>1.4350291564633189E-3</v>
      </c>
      <c r="AQ27" s="104">
        <f>'aij-UNIFAC (LLE)'!$D13*(1-LN(Y27)-AK27)</f>
        <v>9.3386014788481297E-3</v>
      </c>
      <c r="AR27" s="105">
        <f>'aij-UNIFAC (LLE)'!$D13*(1-LN(Z27)-AL27)</f>
        <v>0.87775178496334361</v>
      </c>
      <c r="AS27" s="35"/>
      <c r="AT27" s="190" t="s">
        <v>233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>
        <v>2</v>
      </c>
      <c r="D28" s="57"/>
      <c r="E28" s="57">
        <v>1</v>
      </c>
      <c r="F28" s="57"/>
      <c r="G28" s="83">
        <f t="array" ref="G28">SUM(B28:F28*$B$22:$F$22)</f>
        <v>2.9999999999999997E-20</v>
      </c>
      <c r="H28" s="36" t="str">
        <f t="shared" si="0"/>
        <v>ACCH2</v>
      </c>
      <c r="I28" s="95">
        <f t="shared" si="1"/>
        <v>0</v>
      </c>
      <c r="J28" s="96">
        <f t="shared" si="1"/>
        <v>0.25</v>
      </c>
      <c r="K28" s="96">
        <f t="shared" si="1"/>
        <v>0</v>
      </c>
      <c r="L28" s="96">
        <f t="shared" si="1"/>
        <v>0.14285714285714285</v>
      </c>
      <c r="M28" s="96">
        <f t="shared" si="1"/>
        <v>0</v>
      </c>
      <c r="N28" s="97">
        <f t="shared" si="2"/>
        <v>2.9999999999999997E-20</v>
      </c>
      <c r="O28" s="95">
        <f>I28*'aij-UNIFAC (LLE)'!$D14/I$42</f>
        <v>0</v>
      </c>
      <c r="P28" s="96">
        <f>J28*'aij-UNIFAC (LLE)'!$D14/J$42</f>
        <v>0.30640668523676884</v>
      </c>
      <c r="Q28" s="96">
        <f>K28*'aij-UNIFAC (LLE)'!$D14/K$42</f>
        <v>0</v>
      </c>
      <c r="R28" s="96">
        <f>L28*'aij-UNIFAC (LLE)'!$D14/L$42</f>
        <v>0.18814139110604328</v>
      </c>
      <c r="S28" s="96">
        <f>M28*'aij-UNIFAC (LLE)'!$D14/M$42</f>
        <v>0</v>
      </c>
      <c r="T28" s="98">
        <f>N28*'aij-UNIFAC (LLE)'!$D14/N$42</f>
        <v>1.4142857142857142E-20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0.50499176955805858</v>
      </c>
      <c r="AA28" s="101">
        <f t="shared" si="3"/>
        <v>0</v>
      </c>
      <c r="AB28" s="102">
        <f t="shared" si="3"/>
        <v>0.30841844643783967</v>
      </c>
      <c r="AC28" s="102">
        <f t="shared" si="3"/>
        <v>0</v>
      </c>
      <c r="AD28" s="102">
        <f t="shared" si="3"/>
        <v>0.21622811106261788</v>
      </c>
      <c r="AE28" s="102">
        <f t="shared" si="3"/>
        <v>0</v>
      </c>
      <c r="AF28" s="97">
        <f t="shared" si="3"/>
        <v>2.8006114149611196E-20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5.0639268594424112E-9</v>
      </c>
      <c r="AM28" s="103">
        <f>'aij-UNIFAC (LLE)'!$D14*(1-LN(U28)-AG28)</f>
        <v>2.1422428433285023E-2</v>
      </c>
      <c r="AN28" s="104">
        <f>'aij-UNIFAC (LLE)'!$D14*(1-LN(V28)-AH28)</f>
        <v>-3.4862701003296928E-2</v>
      </c>
      <c r="AO28" s="104">
        <f>'aij-UNIFAC (LLE)'!$D14*(1-LN(W28)-AI28)</f>
        <v>1.1109206741691282</v>
      </c>
      <c r="AP28" s="104">
        <f>'aij-UNIFAC (LLE)'!$D14*(1-LN(X28)-AJ28)</f>
        <v>-4.8083817871517859E-2</v>
      </c>
      <c r="AQ28" s="104">
        <f>'aij-UNIFAC (LLE)'!$D14*(1-LN(Y28)-AK28)</f>
        <v>-6.1139451265646308E-2</v>
      </c>
      <c r="AR28" s="105">
        <f>'aij-UNIFAC (LLE)'!$D14*(1-LN(Z28)-AL28)</f>
        <v>1.1109206741691282</v>
      </c>
      <c r="AS28" s="35"/>
      <c r="AT28" s="190" t="s">
        <v>234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1.3756205346782489</v>
      </c>
      <c r="V29" s="96">
        <v>0.99347716965601052</v>
      </c>
      <c r="W29" s="96">
        <v>0.50499176955805858</v>
      </c>
      <c r="X29" s="99">
        <v>0.87010606614215424</v>
      </c>
      <c r="Y29" s="99">
        <v>1.4741177886932793</v>
      </c>
      <c r="Z29" s="100">
        <v>0.50499176955805858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0.64863684783902198</v>
      </c>
      <c r="AH29" s="99">
        <v>1.0593664712138411</v>
      </c>
      <c r="AI29" s="99">
        <v>5.0639268591451167E-9</v>
      </c>
      <c r="AJ29" s="99">
        <v>1.2119944291609255</v>
      </c>
      <c r="AK29" s="99">
        <v>0.70457583072813879</v>
      </c>
      <c r="AL29" s="100">
        <v>5.0639268594424112E-9</v>
      </c>
      <c r="AM29" s="103">
        <f>'aij-UNIFAC (LLE)'!$D15*(1-LN(U29)-AG29)</f>
        <v>3.1419561702151363E-2</v>
      </c>
      <c r="AN29" s="104">
        <f>'aij-UNIFAC (LLE)'!$D15*(1-LN(V29)-AH29)</f>
        <v>-5.113196147150216E-2</v>
      </c>
      <c r="AO29" s="104">
        <f>'aij-UNIFAC (LLE)'!$D15*(1-LN(W29)-AI29)</f>
        <v>1.6293503221147212</v>
      </c>
      <c r="AP29" s="104">
        <f>'aij-UNIFAC (LLE)'!$D15*(1-LN(X29)-AJ29)</f>
        <v>-7.0522932878226183E-2</v>
      </c>
      <c r="AQ29" s="104">
        <f>'aij-UNIFAC (LLE)'!$D15*(1-LN(Y29)-AK29)</f>
        <v>-8.9671195189614583E-2</v>
      </c>
      <c r="AR29" s="105">
        <f>'aij-UNIFAC (LLE)'!$D15*(1-LN(Z29)-AL29)</f>
        <v>1.6293503221147212</v>
      </c>
      <c r="AS29" s="35"/>
      <c r="AT29" s="190" t="s">
        <v>235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>
        <v>1</v>
      </c>
      <c r="C30" s="57"/>
      <c r="D30" s="57"/>
      <c r="E30" s="57"/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0.1111111111111111</v>
      </c>
      <c r="J30" s="96">
        <f t="shared" si="1"/>
        <v>0</v>
      </c>
      <c r="K30" s="96">
        <f t="shared" si="1"/>
        <v>0</v>
      </c>
      <c r="L30" s="96">
        <f t="shared" si="1"/>
        <v>0</v>
      </c>
      <c r="M30" s="96">
        <f t="shared" si="1"/>
        <v>0</v>
      </c>
      <c r="N30" s="97">
        <f t="shared" si="2"/>
        <v>9.9999999999999995E-21</v>
      </c>
      <c r="O30" s="95">
        <f>I30*'aij-UNIFAC (LLE)'!$D16/I$42</f>
        <v>0.20590253946465339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</v>
      </c>
      <c r="S30" s="96">
        <f>M30*'aij-UNIFAC (LLE)'!$D16/M$42</f>
        <v>0</v>
      </c>
      <c r="T30" s="98">
        <f>N30*'aij-UNIFAC (LLE)'!$D16/N$42</f>
        <v>8.5714285714285725E-21</v>
      </c>
      <c r="U30" s="95">
        <v>0.29729904144569708</v>
      </c>
      <c r="V30" s="96">
        <v>7.211959366154283E-2</v>
      </c>
      <c r="W30" s="96">
        <v>1.5076190398931841</v>
      </c>
      <c r="X30" s="99">
        <v>8.1605881702306565E-2</v>
      </c>
      <c r="Y30" s="99">
        <v>0.11509481710145264</v>
      </c>
      <c r="Z30" s="100">
        <v>1.5076190398931841</v>
      </c>
      <c r="AA30" s="101">
        <f t="shared" si="3"/>
        <v>0.69257720597885741</v>
      </c>
      <c r="AB30" s="102">
        <f t="shared" si="3"/>
        <v>0</v>
      </c>
      <c r="AC30" s="102">
        <f t="shared" si="3"/>
        <v>0</v>
      </c>
      <c r="AD30" s="102">
        <f t="shared" si="3"/>
        <v>0</v>
      </c>
      <c r="AE30" s="102">
        <f t="shared" si="3"/>
        <v>0</v>
      </c>
      <c r="AF30" s="97">
        <f t="shared" si="3"/>
        <v>5.6854074833360182E-21</v>
      </c>
      <c r="AG30" s="95">
        <v>0.99877844618275624</v>
      </c>
      <c r="AH30" s="99">
        <v>0.73305329152482734</v>
      </c>
      <c r="AI30" s="99">
        <v>0.90813621767355412</v>
      </c>
      <c r="AJ30" s="99">
        <v>0.8051060929079803</v>
      </c>
      <c r="AK30" s="99">
        <v>0.33260882012386883</v>
      </c>
      <c r="AL30" s="100">
        <v>0.90813621767355412</v>
      </c>
      <c r="AM30" s="103">
        <f>'aij-UNIFAC (LLE)'!$D16*(1-LN(U30)-AG30)</f>
        <v>1.4570859923991903</v>
      </c>
      <c r="AN30" s="104">
        <f>'aij-UNIFAC (LLE)'!$D16*(1-LN(V30)-AH30)</f>
        <v>3.4756514680048993</v>
      </c>
      <c r="AO30" s="104">
        <f>'aij-UNIFAC (LLE)'!$D16*(1-LN(W30)-AI30)</f>
        <v>-0.38240139513414123</v>
      </c>
      <c r="AP30" s="104">
        <f>'aij-UNIFAC (LLE)'!$D16*(1-LN(X30)-AJ30)</f>
        <v>3.2408974164198976</v>
      </c>
      <c r="AQ30" s="104">
        <f>'aij-UNIFAC (LLE)'!$D16*(1-LN(Y30)-AK30)</f>
        <v>3.3952682084054411</v>
      </c>
      <c r="AR30" s="105">
        <f>'aij-UNIFAC (LLE)'!$D16*(1-LN(Z30)-AL30)</f>
        <v>-0.38240139513414123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0.28749869216583862</v>
      </c>
      <c r="V31" s="96">
        <v>0.18184921573248339</v>
      </c>
      <c r="W31" s="96">
        <v>0.7033952414758935</v>
      </c>
      <c r="X31" s="99">
        <v>0.17648516280611629</v>
      </c>
      <c r="Y31" s="99">
        <v>0.35271570801530017</v>
      </c>
      <c r="Z31" s="100">
        <v>0.7033952414758935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3.1389806811075824</v>
      </c>
      <c r="AH31" s="99">
        <v>2.0762130451937995</v>
      </c>
      <c r="AI31" s="99">
        <v>0.98043869766926783</v>
      </c>
      <c r="AJ31" s="99">
        <v>2.1465046767643616</v>
      </c>
      <c r="AK31" s="99">
        <v>1.5564300475353767</v>
      </c>
      <c r="AL31" s="100">
        <v>0.98043869766926783</v>
      </c>
      <c r="AM31" s="103">
        <f>'aij-UNIFAC (LLE)'!$D17*(1-LN(U31)-AG31)</f>
        <v>-2.7879941605495007</v>
      </c>
      <c r="AN31" s="104">
        <f>'aij-UNIFAC (LLE)'!$D17*(1-LN(V31)-AH31)</f>
        <v>1.9630103077538417</v>
      </c>
      <c r="AO31" s="104">
        <f>'aij-UNIFAC (LLE)'!$D17*(1-LN(W31)-AI31)</f>
        <v>1.1602461846509207</v>
      </c>
      <c r="AP31" s="104">
        <f>'aij-UNIFAC (LLE)'!$D17*(1-LN(X31)-AJ31)</f>
        <v>1.836955088705291</v>
      </c>
      <c r="AQ31" s="104">
        <f>'aij-UNIFAC (LLE)'!$D17*(1-LN(Y31)-AK31)</f>
        <v>1.5172107706408557</v>
      </c>
      <c r="AR31" s="105">
        <f>'aij-UNIFAC (LLE)'!$D17*(1-LN(Z31)-AL31)</f>
        <v>1.1602461846509207</v>
      </c>
      <c r="AS31" s="35"/>
      <c r="AT31" s="35"/>
    </row>
    <row r="32" spans="1:49" s="72" customFormat="1" ht="10">
      <c r="A32" s="35" t="str">
        <f>'aij-UNIFAC (LLE)'!B18</f>
        <v>H2O</v>
      </c>
      <c r="B32" s="57"/>
      <c r="C32" s="57"/>
      <c r="D32" s="57">
        <v>1</v>
      </c>
      <c r="E32" s="57"/>
      <c r="F32" s="57"/>
      <c r="G32" s="83">
        <f t="array" ref="G32">SUM(B32:F32*$B$22:$F$22)</f>
        <v>1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1</v>
      </c>
      <c r="L32" s="96">
        <f t="shared" si="1"/>
        <v>0</v>
      </c>
      <c r="M32" s="96">
        <f t="shared" si="1"/>
        <v>0</v>
      </c>
      <c r="N32" s="97">
        <f t="shared" si="2"/>
        <v>1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1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1</v>
      </c>
      <c r="U32" s="95">
        <v>0.19713259257500174</v>
      </c>
      <c r="V32" s="96">
        <v>2.4913896485885892E-2</v>
      </c>
      <c r="W32" s="96">
        <v>1</v>
      </c>
      <c r="X32" s="99">
        <v>3.5014083947378864E-2</v>
      </c>
      <c r="Y32" s="99">
        <v>1.2775559273734912E-2</v>
      </c>
      <c r="Z32" s="100">
        <v>1</v>
      </c>
      <c r="AA32" s="101">
        <f t="shared" si="3"/>
        <v>0</v>
      </c>
      <c r="AB32" s="102">
        <f t="shared" si="3"/>
        <v>0</v>
      </c>
      <c r="AC32" s="102">
        <f t="shared" si="3"/>
        <v>1</v>
      </c>
      <c r="AD32" s="102">
        <f t="shared" si="3"/>
        <v>0</v>
      </c>
      <c r="AE32" s="102">
        <f t="shared" si="3"/>
        <v>0</v>
      </c>
      <c r="AF32" s="97">
        <f t="shared" si="3"/>
        <v>1</v>
      </c>
      <c r="AG32" s="95">
        <v>1.3361022009035697</v>
      </c>
      <c r="AH32" s="99">
        <v>0.36959533724934757</v>
      </c>
      <c r="AI32" s="99">
        <v>1</v>
      </c>
      <c r="AJ32" s="99">
        <v>0.34933078436147968</v>
      </c>
      <c r="AK32" s="99">
        <v>0.31713896453518281</v>
      </c>
      <c r="AL32" s="100">
        <v>1</v>
      </c>
      <c r="AM32" s="103">
        <f>'aij-UNIFAC (LLE)'!$D18*(1-LN(U32)-AG32)</f>
        <v>1.802887123781362</v>
      </c>
      <c r="AN32" s="104">
        <f>'aij-UNIFAC (LLE)'!$D18*(1-LN(V32)-AH32)</f>
        <v>6.05182788298871</v>
      </c>
      <c r="AO32" s="104">
        <f>'aij-UNIFAC (LLE)'!$D18*(1-LN(W32)-AI32)</f>
        <v>0</v>
      </c>
      <c r="AP32" s="104">
        <f>'aij-UNIFAC (LLE)'!$D18*(1-LN(X32)-AJ32)</f>
        <v>5.6037437618053731</v>
      </c>
      <c r="AQ32" s="104">
        <f>'aij-UNIFAC (LLE)'!$D18*(1-LN(Y32)-AK32)</f>
        <v>7.060315360769307</v>
      </c>
      <c r="AR32" s="105">
        <f>'aij-UNIFAC (LLE)'!$D18*(1-LN(Z32)-AL32)</f>
        <v>0</v>
      </c>
      <c r="AS32" s="35"/>
      <c r="AT32" s="35" t="s">
        <v>88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0.39708561579005019</v>
      </c>
      <c r="V33" s="96">
        <v>0.11647774951383864</v>
      </c>
      <c r="W33" s="96">
        <v>0.31491306519734752</v>
      </c>
      <c r="X33" s="99">
        <v>7.2898669156508833E-2</v>
      </c>
      <c r="Y33" s="99">
        <v>5.1915552327153427E-4</v>
      </c>
      <c r="Z33" s="100">
        <v>0.31491306519734752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2.4293750973621426</v>
      </c>
      <c r="AH33" s="99">
        <v>3.5695574630782345</v>
      </c>
      <c r="AI33" s="99">
        <v>7.37914953953213</v>
      </c>
      <c r="AJ33" s="99">
        <v>3.8884972315996258</v>
      </c>
      <c r="AK33" s="99">
        <v>1.7091083918547825</v>
      </c>
      <c r="AL33" s="100">
        <v>7.37914953953213</v>
      </c>
      <c r="AM33" s="103">
        <f>'aij-UNIFAC (LLE)'!$D19*(1-LN(U33)-AG33)</f>
        <v>-0.3439247782485656</v>
      </c>
      <c r="AN33" s="104">
        <f>'aij-UNIFAC (LLE)'!$D19*(1-LN(V33)-AH33)</f>
        <v>-0.28526166434295541</v>
      </c>
      <c r="AO33" s="104">
        <f>'aij-UNIFAC (LLE)'!$D19*(1-LN(W33)-AI33)</f>
        <v>-3.5521097968935873</v>
      </c>
      <c r="AP33" s="104">
        <f>'aij-UNIFAC (LLE)'!$D19*(1-LN(X33)-AJ33)</f>
        <v>-0.18347238829289353</v>
      </c>
      <c r="AQ33" s="104">
        <f>'aij-UNIFAC (LLE)'!$D19*(1-LN(Y33)-AK33)</f>
        <v>4.6608550944778742</v>
      </c>
      <c r="AR33" s="105">
        <f>'aij-UNIFAC (LLE)'!$D19*(1-LN(Z33)-AL33)</f>
        <v>-3.5521097968935873</v>
      </c>
      <c r="AS33" s="5"/>
      <c r="AT33" s="35" t="s">
        <v>89</v>
      </c>
    </row>
    <row r="34" spans="1:46" s="72" customFormat="1" ht="12">
      <c r="A34" s="35" t="str">
        <f>'aij-UNIFAC (LLE)'!B20</f>
        <v>CH3CO</v>
      </c>
      <c r="B34" s="57"/>
      <c r="C34" s="57"/>
      <c r="D34" s="57"/>
      <c r="E34" s="57"/>
      <c r="F34" s="57"/>
      <c r="G34" s="83">
        <f t="array" ref="G34">SUM(B34:F34*$B$22:$F$22)</f>
        <v>0</v>
      </c>
      <c r="H34" s="36" t="str">
        <f t="shared" si="0"/>
        <v>CH3CO</v>
      </c>
      <c r="I34" s="95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</v>
      </c>
      <c r="O34" s="95">
        <f>I34*'aij-UNIFAC (LLE)'!$D20/I$42</f>
        <v>0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</v>
      </c>
      <c r="U34" s="95">
        <v>0.3271550189211585</v>
      </c>
      <c r="V34" s="96">
        <v>0.13088738082805049</v>
      </c>
      <c r="W34" s="96">
        <v>1.7792999910100182</v>
      </c>
      <c r="X34" s="99">
        <v>0.13606462881294015</v>
      </c>
      <c r="Y34" s="99">
        <v>0.20492562572161924</v>
      </c>
      <c r="Z34" s="100">
        <v>1.7792999910100182</v>
      </c>
      <c r="AA34" s="101">
        <f t="shared" si="3"/>
        <v>0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</v>
      </c>
      <c r="AG34" s="95">
        <v>1.0720210737300011</v>
      </c>
      <c r="AH34" s="99">
        <v>1.0939732465709917</v>
      </c>
      <c r="AI34" s="99">
        <v>0.11894077096783076</v>
      </c>
      <c r="AJ34" s="99">
        <v>1.1499298261051696</v>
      </c>
      <c r="AK34" s="99">
        <v>0.79992017791999159</v>
      </c>
      <c r="AL34" s="100">
        <v>0.11894077096783076</v>
      </c>
      <c r="AM34" s="103">
        <f>'aij-UNIFAC (LLE)'!$D20*(1-LN(U34)-AG34)</f>
        <v>1.5554065230704446</v>
      </c>
      <c r="AN34" s="104">
        <f>'aij-UNIFAC (LLE)'!$D20*(1-LN(V34)-AH34)</f>
        <v>2.8858938137266694</v>
      </c>
      <c r="AO34" s="104">
        <f>'aij-UNIFAC (LLE)'!$D20*(1-LN(W34)-AI34)</f>
        <v>0.45360073786443261</v>
      </c>
      <c r="AP34" s="104">
        <f>'aij-UNIFAC (LLE)'!$D20*(1-LN(X34)-AJ34)</f>
        <v>2.7449068566197856</v>
      </c>
      <c r="AQ34" s="104">
        <f>'aij-UNIFAC (LLE)'!$D20*(1-LN(Y34)-AK34)</f>
        <v>2.6563597277957203</v>
      </c>
      <c r="AR34" s="105">
        <f>'aij-UNIFAC (LLE)'!$D20*(1-LN(Z34)-AL34)</f>
        <v>0.45360073786443261</v>
      </c>
      <c r="AS34" s="5"/>
      <c r="AT34" s="35" t="s">
        <v>91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0.46910855406947333</v>
      </c>
      <c r="V35" s="96">
        <v>0.30492697810450747</v>
      </c>
      <c r="W35" s="96">
        <v>3.233516842020296</v>
      </c>
      <c r="X35" s="99">
        <v>0.31454629529400052</v>
      </c>
      <c r="Y35" s="99">
        <v>0.58844606877609129</v>
      </c>
      <c r="Z35" s="100">
        <v>3.233516842020296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3.5064513967888584</v>
      </c>
      <c r="AH35" s="99">
        <v>0.76149016513457735</v>
      </c>
      <c r="AI35" s="99">
        <v>0.12345234716243569</v>
      </c>
      <c r="AJ35" s="99">
        <v>0.90551990326550535</v>
      </c>
      <c r="AK35" s="99">
        <v>0.61261303839653836</v>
      </c>
      <c r="AL35" s="100">
        <v>0.12345234716243569</v>
      </c>
      <c r="AM35" s="103">
        <f>'aij-UNIFAC (LLE)'!$D21*(1-LN(U35)-AG35)</f>
        <v>-1.658554741502777</v>
      </c>
      <c r="AN35" s="104">
        <f>'aij-UNIFAC (LLE)'!$D21*(1-LN(V35)-AH35)</f>
        <v>1.3520307572938528</v>
      </c>
      <c r="AO35" s="104">
        <f>'aij-UNIFAC (LLE)'!$D21*(1-LN(W35)-AI35)</f>
        <v>-0.28157751737898118</v>
      </c>
      <c r="AP35" s="104">
        <f>'aij-UNIFAC (LLE)'!$D21*(1-LN(X35)-AJ35)</f>
        <v>1.186046693973329</v>
      </c>
      <c r="AQ35" s="104">
        <f>'aij-UNIFAC (LLE)'!$D21*(1-LN(Y35)-AK35)</f>
        <v>0.86993879801027796</v>
      </c>
      <c r="AR35" s="105">
        <f>'aij-UNIFAC (LLE)'!$D21*(1-LN(Z35)-AL35)</f>
        <v>-0.28157751737898118</v>
      </c>
      <c r="AS35" s="5"/>
      <c r="AT35" s="35" t="s">
        <v>92</v>
      </c>
    </row>
    <row r="36" spans="1:46" s="72" customFormat="1" ht="12">
      <c r="A36" s="35" t="str">
        <f>'aij-UNIFAC (LLE)'!B22</f>
        <v>COOH</v>
      </c>
      <c r="B36" s="57"/>
      <c r="C36" s="57"/>
      <c r="D36" s="57"/>
      <c r="E36" s="57"/>
      <c r="F36" s="57"/>
      <c r="G36" s="83">
        <f t="array" ref="G36">SUM(B36:F36*$B$22:$F$22)</f>
        <v>0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</v>
      </c>
      <c r="N36" s="97">
        <f t="shared" ref="N36:N41" si="5">G36/$G$42</f>
        <v>0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0</v>
      </c>
      <c r="U36" s="95">
        <v>0.78937458820261841</v>
      </c>
      <c r="V36" s="96">
        <v>0.37903656533811386</v>
      </c>
      <c r="W36" s="96">
        <v>4.7681836853391824</v>
      </c>
      <c r="X36" s="99">
        <v>0.33292844711013897</v>
      </c>
      <c r="Y36" s="99">
        <v>0.62653546945671312</v>
      </c>
      <c r="Z36" s="100">
        <v>4.7681836853391824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</v>
      </c>
      <c r="AF36" s="97">
        <f t="shared" si="3"/>
        <v>0</v>
      </c>
      <c r="AG36" s="95">
        <v>0.46824224845059814</v>
      </c>
      <c r="AH36" s="99">
        <v>0.40357563396458607</v>
      </c>
      <c r="AI36" s="99">
        <v>0.11216044139014483</v>
      </c>
      <c r="AJ36" s="99">
        <v>0.49180440802319614</v>
      </c>
      <c r="AK36" s="99">
        <v>2.8816141817132788E-3</v>
      </c>
      <c r="AL36" s="100">
        <v>0.11216044139014483</v>
      </c>
      <c r="AM36" s="103">
        <f>'aij-UNIFAC (LLE)'!$D22*(1-LN(U36)-AG36)</f>
        <v>0.94036500034102599</v>
      </c>
      <c r="AN36" s="104">
        <f>'aij-UNIFAC (LLE)'!$D22*(1-LN(V36)-AH36)</f>
        <v>1.9174534865360109</v>
      </c>
      <c r="AO36" s="104">
        <f>'aij-UNIFAC (LLE)'!$D22*(1-LN(W36)-AI36)</f>
        <v>-0.82513009550554195</v>
      </c>
      <c r="AP36" s="104">
        <f>'aij-UNIFAC (LLE)'!$D22*(1-LN(X36)-AJ36)</f>
        <v>1.9682204917949466</v>
      </c>
      <c r="AQ36" s="104">
        <f>'aij-UNIFAC (LLE)'!$D22*(1-LN(Y36)-AK36)</f>
        <v>1.7927539708188094</v>
      </c>
      <c r="AR36" s="105">
        <f>'aij-UNIFAC (LLE)'!$D22*(1-LN(Z36)-AL36)</f>
        <v>-0.82513009550554195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0.13728275904699452</v>
      </c>
      <c r="V37" s="96">
        <v>0.37635315626799426</v>
      </c>
      <c r="W37" s="96">
        <v>1.0214236442902456</v>
      </c>
      <c r="X37" s="99">
        <v>0.56803318687010551</v>
      </c>
      <c r="Y37" s="99">
        <v>3.8332944566444621E-2</v>
      </c>
      <c r="Z37" s="100">
        <v>1.0214236442902456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3.0715678806666986</v>
      </c>
      <c r="AH37" s="99">
        <v>1.9771905276096784</v>
      </c>
      <c r="AI37" s="99">
        <v>0.27408556450075916</v>
      </c>
      <c r="AJ37" s="99">
        <v>1.6909569457299176</v>
      </c>
      <c r="AK37" s="99">
        <v>2.9259542322852581</v>
      </c>
      <c r="AL37" s="100">
        <v>0.27408556450075916</v>
      </c>
      <c r="AM37" s="103">
        <f>'aij-UNIFAC (LLE)'!$D23*(1-LN(U37)-AG37)</f>
        <v>-0.14835801918292066</v>
      </c>
      <c r="AN37" s="104">
        <f>'aij-UNIFAC (LLE)'!$D23*(1-LN(V37)-AH37)</f>
        <v>6.3596281967591032E-5</v>
      </c>
      <c r="AO37" s="104">
        <f>'aij-UNIFAC (LLE)'!$D23*(1-LN(W37)-AI37)</f>
        <v>1.2177510652201995</v>
      </c>
      <c r="AP37" s="104">
        <f>'aij-UNIFAC (LLE)'!$D23*(1-LN(X37)-AJ37)</f>
        <v>-0.21665925161335459</v>
      </c>
      <c r="AQ37" s="104">
        <f>'aij-UNIFAC (LLE)'!$D23*(1-LN(Y37)-AK37)</f>
        <v>2.3077290507230974</v>
      </c>
      <c r="AR37" s="105">
        <f>'aij-UNIFAC (LLE)'!$D23*(1-LN(Z37)-AL37)</f>
        <v>1.2177510652201995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0.17155455634823896</v>
      </c>
      <c r="V38" s="96">
        <v>0.51834723870373589</v>
      </c>
      <c r="W38" s="96">
        <v>0.80568233560535418</v>
      </c>
      <c r="X38" s="99">
        <v>0.63016099604652698</v>
      </c>
      <c r="Y38" s="99">
        <v>0.10853372971080172</v>
      </c>
      <c r="Z38" s="100">
        <v>0.80568233560535418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0.44202373594317768</v>
      </c>
      <c r="AH38" s="99">
        <v>0.48124295531549122</v>
      </c>
      <c r="AI38" s="99">
        <v>0.4898114796574779</v>
      </c>
      <c r="AJ38" s="99">
        <v>0.56336303611176775</v>
      </c>
      <c r="AK38" s="99">
        <v>5.1479339534634396E-3</v>
      </c>
      <c r="AL38" s="100">
        <v>0.4898114796574779</v>
      </c>
      <c r="AM38" s="103">
        <f>'aij-UNIFAC (LLE)'!$D24*(1-LN(U38)-AG38)</f>
        <v>1.8102475670778715</v>
      </c>
      <c r="AN38" s="104">
        <f>'aij-UNIFAC (LLE)'!$D24*(1-LN(V38)-AH38)</f>
        <v>0.91717622958007661</v>
      </c>
      <c r="AO38" s="104">
        <f>'aij-UNIFAC (LLE)'!$D24*(1-LN(W38)-AI38)</f>
        <v>0.5664783220704207</v>
      </c>
      <c r="AP38" s="104">
        <f>'aij-UNIFAC (LLE)'!$D24*(1-LN(X38)-AJ38)</f>
        <v>0.700765187344361</v>
      </c>
      <c r="AQ38" s="104">
        <f>'aij-UNIFAC (LLE)'!$D24*(1-LN(Y38)-AK38)</f>
        <v>2.5081261510098423</v>
      </c>
      <c r="AR38" s="105">
        <f>'aij-UNIFAC (LLE)'!$D24*(1-LN(Z38)-AL38)</f>
        <v>0.5664783220704207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1.8821115574951153</v>
      </c>
      <c r="V39" s="96">
        <v>1.407914918586441</v>
      </c>
      <c r="W39" s="96">
        <v>0.28842104855631745</v>
      </c>
      <c r="X39" s="99">
        <v>1.3060497894358567</v>
      </c>
      <c r="Y39" s="99">
        <v>2.2660644591285211</v>
      </c>
      <c r="Z39" s="100">
        <v>0.28842104855631745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0.91176420404696001</v>
      </c>
      <c r="AH39" s="99">
        <v>0.97147934237581479</v>
      </c>
      <c r="AI39" s="99">
        <v>8.3466179238351382E-2</v>
      </c>
      <c r="AJ39" s="99">
        <v>0.98789414114954543</v>
      </c>
      <c r="AK39" s="99">
        <v>0.91066783999947831</v>
      </c>
      <c r="AL39" s="100">
        <v>8.3466179238351382E-2</v>
      </c>
      <c r="AM39" s="103">
        <f>'aij-UNIFAC (LLE)'!$D25*(1-LN(U39)-AG39)</f>
        <v>-0.91636294681598929</v>
      </c>
      <c r="AN39" s="104">
        <f>'aij-UNIFAC (LLE)'!$D25*(1-LN(V39)-AH39)</f>
        <v>-0.52808416420912385</v>
      </c>
      <c r="AO39" s="104">
        <f>'aij-UNIFAC (LLE)'!$D25*(1-LN(W39)-AI39)</f>
        <v>3.6372172288565623</v>
      </c>
      <c r="AP39" s="104">
        <f>'aij-UNIFAC (LLE)'!$D25*(1-LN(X39)-AJ39)</f>
        <v>-0.42925378059141678</v>
      </c>
      <c r="AQ39" s="104">
        <f>'aij-UNIFAC (LLE)'!$D25*(1-LN(Y39)-AK39)</f>
        <v>-1.2271517631360123</v>
      </c>
      <c r="AR39" s="105">
        <f>'aij-UNIFAC (LLE)'!$D25*(1-LN(Z39)-AL39)</f>
        <v>3.6372172288565623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1.0275026497524471</v>
      </c>
      <c r="V40" s="96">
        <v>1.4417478290967614</v>
      </c>
      <c r="W40" s="96">
        <v>0.30218584686982602</v>
      </c>
      <c r="X40" s="99">
        <v>1.6726635807210728</v>
      </c>
      <c r="Y40" s="99">
        <v>0.97515863050911167</v>
      </c>
      <c r="Z40" s="100">
        <v>0.30218584686982602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1.0275530385057328</v>
      </c>
      <c r="AH40" s="99">
        <v>0.77631004371064338</v>
      </c>
      <c r="AI40" s="99">
        <v>6.9919839998489608E-2</v>
      </c>
      <c r="AJ40" s="99">
        <v>0.68520511963140052</v>
      </c>
      <c r="AK40" s="99">
        <v>0.93127024594904473</v>
      </c>
      <c r="AL40" s="100">
        <v>6.9919839998489608E-2</v>
      </c>
      <c r="AM40" s="103">
        <f>'aij-UNIFAC (LLE)'!$D26*(1-LN(U40)-AG40)</f>
        <v>-0.11943047783974645</v>
      </c>
      <c r="AN40" s="104">
        <f>'aij-UNIFAC (LLE)'!$D26*(1-LN(V40)-AH40)</f>
        <v>-0.31049096219471317</v>
      </c>
      <c r="AO40" s="104">
        <f>'aij-UNIFAC (LLE)'!$D26*(1-LN(W40)-AI40)</f>
        <v>4.6449164009878237</v>
      </c>
      <c r="AP40" s="104">
        <f>'aij-UNIFAC (LLE)'!$D26*(1-LN(X40)-AJ40)</f>
        <v>-0.4359753958127468</v>
      </c>
      <c r="AQ40" s="104">
        <f>'aij-UNIFAC (LLE)'!$D26*(1-LN(Y40)-AK40)</f>
        <v>0.20504457204735332</v>
      </c>
      <c r="AR40" s="105">
        <f>'aij-UNIFAC (LLE)'!$D26*(1-LN(Z40)-AL40)</f>
        <v>4.6449164009878237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0.70052526279258709</v>
      </c>
      <c r="V41" s="108">
        <v>0.41531942620653683</v>
      </c>
      <c r="W41" s="108">
        <v>1.4452336507704617</v>
      </c>
      <c r="X41" s="111">
        <v>0.59734490828245557</v>
      </c>
      <c r="Y41" s="111">
        <v>4.8509596852346293E-2</v>
      </c>
      <c r="Z41" s="112">
        <v>1.4452336507704617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0.62796758378367756</v>
      </c>
      <c r="AH41" s="111">
        <v>1.1354182258706167</v>
      </c>
      <c r="AI41" s="111">
        <v>2.2351160285015359</v>
      </c>
      <c r="AJ41" s="111">
        <v>1.3794246318612051</v>
      </c>
      <c r="AK41" s="111">
        <v>0.55452904712035056</v>
      </c>
      <c r="AL41" s="112">
        <v>2.2351160285015359</v>
      </c>
      <c r="AM41" s="115">
        <f>'aij-UNIFAC (LLE)'!$D27*(1-LN(U41)-AG41)</f>
        <v>0.59401312916040727</v>
      </c>
      <c r="AN41" s="116">
        <f>'aij-UNIFAC (LLE)'!$D27*(1-LN(V41)-AH41)</f>
        <v>0.60652392783336095</v>
      </c>
      <c r="AO41" s="116">
        <f>'aij-UNIFAC (LLE)'!$D27*(1-LN(W41)-AI41)</f>
        <v>-1.3083638189520377</v>
      </c>
      <c r="AP41" s="116">
        <f>'aij-UNIFAC (LLE)'!$D27*(1-LN(X41)-AJ41)</f>
        <v>0.11084214722531643</v>
      </c>
      <c r="AQ41" s="116">
        <f>'aij-UNIFAC (LLE)'!$D27*(1-LN(Y41)-AK41)</f>
        <v>2.8327150974827133</v>
      </c>
      <c r="AR41" s="117">
        <f>'aij-UNIFAC (LLE)'!$D27*(1-LN(Z41)-AL41)</f>
        <v>-1.3083638189520377</v>
      </c>
      <c r="AS41" s="5"/>
      <c r="AT41" s="5"/>
    </row>
    <row r="42" spans="1:46">
      <c r="A42" s="82" t="s">
        <v>141</v>
      </c>
      <c r="B42" s="83">
        <f>B22*SUM(B24:B41)</f>
        <v>8.9999999999999991E-20</v>
      </c>
      <c r="C42" s="83">
        <f>C22*SUM(C24:C41)</f>
        <v>7.9999999999999996E-20</v>
      </c>
      <c r="D42" s="83">
        <f>D22*SUM(D24:D41)</f>
        <v>1</v>
      </c>
      <c r="E42" s="83">
        <f>E22*SUM(E24:E41)</f>
        <v>7.0000000000000001E-20</v>
      </c>
      <c r="F42" s="83">
        <f>F22*SUM(F24:F41)</f>
        <v>9.9999999999999995E-21</v>
      </c>
      <c r="G42" s="83">
        <f>SUM(B42:F42)</f>
        <v>1</v>
      </c>
      <c r="H42" s="118" t="s">
        <v>142</v>
      </c>
      <c r="I42" s="36">
        <f t="array" ref="I42">SUM(I24:I41*_QL)</f>
        <v>0.64755555555555555</v>
      </c>
      <c r="J42" s="36">
        <f t="array" ref="J42">SUM(J24:J41*_QL)</f>
        <v>0.53849999999999998</v>
      </c>
      <c r="K42" s="36">
        <f t="array" ref="K42">SUM(K24:K41*_QL)</f>
        <v>1.4</v>
      </c>
      <c r="L42" s="36">
        <f t="array" ref="L42">SUM(L24:L41*_QL)</f>
        <v>0.50114285714285722</v>
      </c>
      <c r="M42" s="36">
        <f t="array" ref="M42">SUM(M24:M41*_QL)</f>
        <v>0.84799999999999998</v>
      </c>
      <c r="N42" s="36">
        <f t="array" ref="N42">SUM(N24:N41*_QL)</f>
        <v>1.4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143</v>
      </c>
      <c r="B43" s="119">
        <f>SUM(B24:B41)</f>
        <v>9</v>
      </c>
      <c r="C43" s="119">
        <f>SUM(C24:C41)</f>
        <v>8</v>
      </c>
      <c r="D43" s="119">
        <f>SUM(D24:D41)</f>
        <v>1</v>
      </c>
      <c r="E43" s="119">
        <f>SUM(E24:E41)</f>
        <v>7</v>
      </c>
      <c r="F43" s="119">
        <f>SUM(F24:F41)</f>
        <v>1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5.8280000000000003</v>
      </c>
      <c r="C45" s="58">
        <f t="array" ref="C45">SUM(C24:C41*_QL)</f>
        <v>4.3079999999999998</v>
      </c>
      <c r="D45" s="58">
        <f t="array" ref="D45">SUM(D24:D41*_QL)</f>
        <v>1.4</v>
      </c>
      <c r="E45" s="58">
        <f t="array" ref="E45">SUM(E24:E41*_QL)</f>
        <v>3.508</v>
      </c>
      <c r="F45" s="58">
        <f t="array" ref="F45">SUM(F24:F41*_QL)</f>
        <v>0.84799999999999998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6.6219000000000001</v>
      </c>
      <c r="C46" s="58">
        <f t="array" ref="C46">SUM(C24:C41*_RL)</f>
        <v>5.7798999999999996</v>
      </c>
      <c r="D46" s="58">
        <f t="array" ref="D46">SUM(D24:D41*_RL)</f>
        <v>0.92</v>
      </c>
      <c r="E46" s="58">
        <f t="array" ref="E46">SUM(E24:E41*_RL)</f>
        <v>4.5972</v>
      </c>
      <c r="F46" s="58">
        <f t="array" ref="F46">SUM(F24:F41*_RL)</f>
        <v>0.90110000000000001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144</v>
      </c>
      <c r="B47" s="58">
        <f>B22*B45/SUMPRODUCT($B45:$F45,$B22:$F22)</f>
        <v>4.1628571428571431E-20</v>
      </c>
      <c r="C47" s="58">
        <f>C22*C45/SUMPRODUCT($B45:$F45,$B22:$F22)</f>
        <v>3.0771428571428571E-20</v>
      </c>
      <c r="D47" s="58">
        <f>D22*D45/SUMPRODUCT($B45:$F45,$B22:$F22)</f>
        <v>1</v>
      </c>
      <c r="E47" s="58">
        <f>E22*E45/SUMPRODUCT($B45:$F45,$B22:$F22)</f>
        <v>2.505714285714286E-20</v>
      </c>
      <c r="F47" s="58">
        <f>F22*F45/SUMPRODUCT($B45:$F45,$B22:$F22)</f>
        <v>6.0571428571428571E-21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145</v>
      </c>
      <c r="B48" s="58">
        <f>B22*B46/SUMPRODUCT($B46:$F46,$B22:$F22)</f>
        <v>7.1977173913043471E-20</v>
      </c>
      <c r="C48" s="58">
        <f>C22*C46/SUMPRODUCT($B46:$F46,$B22:$F22)</f>
        <v>6.2824999999999979E-20</v>
      </c>
      <c r="D48" s="58">
        <f>D22*D46/SUMPRODUCT($B46:$F46,$B22:$F22)</f>
        <v>1</v>
      </c>
      <c r="E48" s="58">
        <f>E22*E46/SUMPRODUCT($B46:$F46,$B22:$F22)</f>
        <v>4.9969565217391305E-20</v>
      </c>
      <c r="F48" s="58">
        <f>F22*F46/SUMPRODUCT($B46:$F46,$B22:$F22)</f>
        <v>9.7945652173913026E-21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146</v>
      </c>
      <c r="B49" s="58">
        <f>LN(B48/B22)+(1-B48/B22)-5*B45*(LN(B48/B47)+(1-B48/B47))</f>
        <v>1.0641030165369258</v>
      </c>
      <c r="C49" s="58">
        <f>LN(C48/C22)+(1-C48/C22)-5*C45*(LN(C48/C47)+(1-C48/C47))</f>
        <v>3.6182382748274562</v>
      </c>
      <c r="D49" s="58">
        <f>LN(D48/D22)+(1-D48/D22)-5*D45*(LN(D48/D47)+(1-D48/D47))</f>
        <v>0</v>
      </c>
      <c r="E49" s="58">
        <f>LN(E48/E22)+(1-E48/E22)-5*E45*(LN(E48/E47)+(1-E48/E47))</f>
        <v>2.9434920667948923</v>
      </c>
      <c r="F49" s="58">
        <f>LN(F48/F22)+(1-F48/F22)-5*F45*(LN(F48/F47)+(1-F48/F47))</f>
        <v>0.57828243583303307</v>
      </c>
      <c r="G49" s="121"/>
      <c r="I49" s="122"/>
    </row>
    <row r="50" spans="1:9">
      <c r="A50" s="72" t="s">
        <v>147</v>
      </c>
      <c r="B50" s="58">
        <f t="array" ref="B50">SUM(B24:B36*AM24:AM36)</f>
        <v>2.1397520406422696</v>
      </c>
      <c r="C50" s="58">
        <f t="array" ref="C50">SUM(C24:C36*AN24:AN36)</f>
        <v>-8.2152787906144331E-2</v>
      </c>
      <c r="D50" s="58">
        <f t="array" ref="D50">SUM(D24:D36*AO24:AO36)</f>
        <v>0</v>
      </c>
      <c r="E50" s="58">
        <f t="array" ref="E50">SUM(E24:E36*AP24:AP36)</f>
        <v>-3.890077890700059E-2</v>
      </c>
      <c r="F50" s="58">
        <f t="array" ref="F50">SUM(F24:F36*AQ24:AQ36)</f>
        <v>0</v>
      </c>
      <c r="G50" s="121"/>
    </row>
    <row r="51" spans="1:9">
      <c r="A51" s="72" t="s">
        <v>148</v>
      </c>
      <c r="B51" s="58">
        <f t="array" ref="B51">SUM(B24:B36*$AR24:$AR36)</f>
        <v>9.5013389881888042</v>
      </c>
      <c r="C51" s="58">
        <f t="array" ref="C51">SUM(C24:C36*$AR24:$AR36)</f>
        <v>8.6971163473213302</v>
      </c>
      <c r="D51" s="58">
        <f t="array" ref="D51">SUM(D24:D36*$AR24:$AR36)</f>
        <v>0</v>
      </c>
      <c r="E51" s="58">
        <f t="array" ref="E51">SUM(E24:E36*$AR24:$AR36)</f>
        <v>7.3107020374166716</v>
      </c>
      <c r="F51" s="58">
        <f t="array" ref="F51">SUM(F24:F36*$AR24:$AR36)</f>
        <v>1.8110224384308249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301</v>
      </c>
      <c r="B1" s="144"/>
      <c r="C1" s="144"/>
    </row>
    <row r="2" spans="1:46">
      <c r="A2" s="144" t="s">
        <v>300</v>
      </c>
      <c r="B2" s="144"/>
      <c r="C2" s="144"/>
    </row>
    <row r="3" spans="1:46">
      <c r="A3" s="144" t="s">
        <v>298</v>
      </c>
      <c r="B3" s="144"/>
      <c r="C3" s="144"/>
    </row>
    <row r="4" spans="1:46">
      <c r="A4" s="144" t="s">
        <v>299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111</v>
      </c>
      <c r="E8" s="47" t="s">
        <v>112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113</v>
      </c>
      <c r="B9" s="144">
        <f t="array" ref="B9">SUM(B21:F21*B22:F22*B16:F16)</f>
        <v>12.176706608640119</v>
      </c>
      <c r="C9" s="144" t="s">
        <v>114</v>
      </c>
      <c r="D9" s="48" t="s">
        <v>115</v>
      </c>
      <c r="E9" s="49"/>
      <c r="F9" s="49"/>
      <c r="G9" s="49"/>
      <c r="X9" s="35"/>
      <c r="AN9"/>
      <c r="AS9" s="188" t="s">
        <v>116</v>
      </c>
    </row>
    <row r="10" spans="1:46">
      <c r="A10" s="144" t="s">
        <v>176</v>
      </c>
      <c r="B10" s="192">
        <f>'UNIFAC (LLEa)'!TC.</f>
        <v>25</v>
      </c>
      <c r="C10" s="146" t="s">
        <v>117</v>
      </c>
      <c r="D10" s="50" t="s">
        <v>118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119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120</v>
      </c>
      <c r="C12" s="36" t="s">
        <v>121</v>
      </c>
      <c r="D12" s="36" t="s">
        <v>122</v>
      </c>
      <c r="E12" s="36" t="s">
        <v>123</v>
      </c>
      <c r="F12" s="36" t="s">
        <v>124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125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126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237</v>
      </c>
    </row>
    <row r="15" spans="1:46" s="72" customFormat="1" ht="10">
      <c r="A15" s="35" t="s">
        <v>127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128</v>
      </c>
      <c r="B16" s="193">
        <f>'UNIFAC (LLEa)'!B17</f>
        <v>9.4024636752755228E-2</v>
      </c>
      <c r="C16" s="193">
        <f>'UNIFAC (LLEa)'!C17</f>
        <v>1</v>
      </c>
      <c r="D16" s="193">
        <f>'UNIFAC (LLEa)'!D17</f>
        <v>23.686413553095228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129</v>
      </c>
      <c r="B17" s="194">
        <f>'UNIFAC (LLEa)'!B18</f>
        <v>1.8112275452400545E-19</v>
      </c>
      <c r="C17" s="194">
        <f>'UNIFAC (LLEa)'!C18</f>
        <v>1.0225151465944035E-16</v>
      </c>
      <c r="D17" s="194">
        <f>'UNIFAC (LLEa)'!D18</f>
        <v>0.99999999999999989</v>
      </c>
      <c r="E17" s="194">
        <f>'UNIFAC (LLEa)'!E18</f>
        <v>1.2466226170014822E-17</v>
      </c>
      <c r="F17" s="194">
        <f>'UNIFAC (LLEa)'!F18</f>
        <v>4.6042894185616149E-21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120</v>
      </c>
      <c r="C19" s="36" t="s">
        <v>121</v>
      </c>
      <c r="D19" s="36" t="s">
        <v>122</v>
      </c>
      <c r="E19" s="36" t="s">
        <v>123</v>
      </c>
      <c r="F19" s="36" t="s">
        <v>124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Octanol</v>
      </c>
      <c r="C20" s="261" t="str">
        <f>'UNIFAC (LLEa)'!C21</f>
        <v>Drug</v>
      </c>
      <c r="D20" s="261" t="str">
        <f>'UNIFAC (LLEa)'!D21</f>
        <v>Water</v>
      </c>
      <c r="E20" s="262" t="str">
        <f>'UNIFAC (LLEa)'!E21</f>
        <v>ethyl benzene</v>
      </c>
      <c r="F20" s="261" t="str">
        <f>'UNIFAC (LLEa)'!F21</f>
        <v>none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83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132</v>
      </c>
      <c r="L21" s="36"/>
      <c r="M21"/>
      <c r="N21"/>
      <c r="O21"/>
      <c r="P21"/>
      <c r="Q21" s="80" t="s">
        <v>133</v>
      </c>
      <c r="R21" s="36"/>
      <c r="S21" s="36"/>
      <c r="T21" s="36"/>
      <c r="U21"/>
      <c r="V21" s="35"/>
      <c r="W21" s="81" t="s">
        <v>134</v>
      </c>
      <c r="X21" s="36"/>
      <c r="Y21" s="35"/>
      <c r="Z21" s="35"/>
      <c r="AA21"/>
      <c r="AB21" s="36"/>
      <c r="AC21" s="81" t="s">
        <v>135</v>
      </c>
      <c r="AD21" s="35"/>
      <c r="AE21" s="35"/>
      <c r="AF21" s="35"/>
      <c r="AG21" s="36"/>
      <c r="AH21" s="36"/>
      <c r="AI21" s="81" t="s">
        <v>136</v>
      </c>
      <c r="AJ21" s="35"/>
      <c r="AK21" s="35"/>
      <c r="AM21"/>
      <c r="AO21" s="72" t="s">
        <v>137</v>
      </c>
      <c r="AS21" s="35"/>
      <c r="AT21" s="35"/>
    </row>
    <row r="22" spans="1:48" s="72" customFormat="1" ht="11">
      <c r="A22" s="82" t="s">
        <v>138</v>
      </c>
      <c r="B22" s="56">
        <f>EXP(B50-B49+B48)</f>
        <v>0.9897353947715648</v>
      </c>
      <c r="C22" s="56">
        <f>EXP(C50-C49+C48)</f>
        <v>2.1532368274752671</v>
      </c>
      <c r="D22" s="56">
        <f>EXP(D50-D49+D48)</f>
        <v>5.6583378708045169</v>
      </c>
      <c r="E22" s="56">
        <f>EXP(E50-E49+E48)</f>
        <v>1.6385780834868975</v>
      </c>
      <c r="F22" s="56">
        <f>EXP(F50-F49+F48)</f>
        <v>0.40748623084038477</v>
      </c>
      <c r="G22" s="82" t="s">
        <v>139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140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140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140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140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140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140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1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0.91191632099236375</v>
      </c>
      <c r="H23" s="36" t="str">
        <f t="shared" ref="H23:H40" si="0">A23</f>
        <v>CH3</v>
      </c>
      <c r="I23" s="84">
        <f t="shared" ref="I23:I40" si="1">B23/B$42</f>
        <v>0.1111111111111111</v>
      </c>
      <c r="J23" s="85">
        <f t="shared" ref="J23:J40" si="2">C23/C$42</f>
        <v>0.125</v>
      </c>
      <c r="K23" s="85">
        <f t="shared" ref="K23:K40" si="3">D23/D$42</f>
        <v>0</v>
      </c>
      <c r="L23" s="85">
        <f t="shared" ref="L23:L40" si="4">E23/E$42</f>
        <v>0.14285714285714285</v>
      </c>
      <c r="M23" s="85">
        <f t="shared" ref="M23:M40" si="5">F23/F$42</f>
        <v>1</v>
      </c>
      <c r="N23" s="86">
        <f t="shared" ref="N23:N40" si="6">G23/$G$41</f>
        <v>0.11180472818779111</v>
      </c>
      <c r="O23" s="84">
        <f>I23*'aij-UNIFAC (LLE)'!$D10/I$41</f>
        <v>0.14550446122168839</v>
      </c>
      <c r="P23" s="85">
        <f>J23*'aij-UNIFAC (LLE)'!$D10/J$41</f>
        <v>0.19684308263695449</v>
      </c>
      <c r="Q23" s="85">
        <f>K23*'aij-UNIFAC (LLE)'!$D10/K$41</f>
        <v>0</v>
      </c>
      <c r="R23" s="85">
        <f>L23*'aij-UNIFAC (LLE)'!$D10/L$41</f>
        <v>0.24173318129988591</v>
      </c>
      <c r="S23" s="85">
        <f>M23*'aij-UNIFAC (LLE)'!$D10/M$41</f>
        <v>1</v>
      </c>
      <c r="T23" s="87">
        <f>N23*'aij-UNIFAC (LLE)'!$D10/N$41</f>
        <v>0.14795323864055893</v>
      </c>
      <c r="U23" s="84">
        <f t="array" ref="U23:Z40">MMULT(TRANSPOSE(tauL),O23:T40)</f>
        <v>0.86258246124719329</v>
      </c>
      <c r="V23" s="88">
        <v>0.75780407426268126</v>
      </c>
      <c r="W23" s="85">
        <v>0.31713896453518281</v>
      </c>
      <c r="X23" s="85">
        <v>0.71158633622681877</v>
      </c>
      <c r="Y23" s="88">
        <v>1</v>
      </c>
      <c r="Z23" s="89">
        <v>0.83770912628876992</v>
      </c>
      <c r="AA23" s="90">
        <f t="shared" ref="AA23:AA40" si="7">O23/U23</f>
        <v>0.16868469712600692</v>
      </c>
      <c r="AB23" s="91">
        <f t="shared" ref="AB23:AB40" si="8">P23/V23</f>
        <v>0.25975458475658952</v>
      </c>
      <c r="AC23" s="91">
        <f t="shared" ref="AC23:AC40" si="9">Q23/W23</f>
        <v>0</v>
      </c>
      <c r="AD23" s="91">
        <f t="shared" ref="AD23:AD40" si="10">R23/X23</f>
        <v>0.33971026282161954</v>
      </c>
      <c r="AE23" s="91">
        <f t="shared" ref="AE23:AE40" si="11">S23/Y23</f>
        <v>1</v>
      </c>
      <c r="AF23" s="86">
        <f t="shared" ref="AF23:AF40" si="12">T23/Z23</f>
        <v>0.17661648178052367</v>
      </c>
      <c r="AG23" s="84">
        <f t="array" ref="AG23:AL40">MMULT(tauL,AA23:AF40)</f>
        <v>1.0003167382412905</v>
      </c>
      <c r="AH23" s="85">
        <v>1.2852595002267069</v>
      </c>
      <c r="AI23" s="88">
        <v>1.2775559273734912E-2</v>
      </c>
      <c r="AJ23" s="88">
        <v>1.3378907262909103</v>
      </c>
      <c r="AK23" s="88">
        <v>1</v>
      </c>
      <c r="AL23" s="89">
        <v>1.0164287187860233</v>
      </c>
      <c r="AM23" s="92">
        <f>'aij-UNIFAC (LLE)'!$D10*(1-LN(U23)-AG23)</f>
        <v>0.12508660520962211</v>
      </c>
      <c r="AN23" s="93">
        <f>'aij-UNIFAC (LLE)'!$D10*(1-LN(V23)-AH23)</f>
        <v>-6.7238736199420439E-3</v>
      </c>
      <c r="AO23" s="93">
        <f>'aij-UNIFAC (LLE)'!$D10*(1-LN(W23)-AI23)</f>
        <v>1.8110224384308249</v>
      </c>
      <c r="AP23" s="93">
        <f>'aij-UNIFAC (LLE)'!$D10*(1-LN(X23)-AJ23)</f>
        <v>2.0078931822006753E-3</v>
      </c>
      <c r="AQ23" s="93">
        <f>'aij-UNIFAC (LLE)'!$D10*(1-LN(Y23)-AK23)</f>
        <v>0</v>
      </c>
      <c r="AR23" s="94">
        <f>'aij-UNIFAC (LLE)'!$D10*(1-LN(Z23)-AL23)</f>
        <v>0.13623596969144533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7</v>
      </c>
      <c r="C24" s="193">
        <f>'UNIFAC (LLEa)'!C25</f>
        <v>1</v>
      </c>
      <c r="D24" s="193">
        <f>'UNIFAC (LLEa)'!D25</f>
        <v>0</v>
      </c>
      <c r="E24" s="193">
        <f>'UNIFAC (LLEa)'!E25</f>
        <v>0</v>
      </c>
      <c r="F24" s="193">
        <f>'UNIFAC (LLEa)'!F25</f>
        <v>0</v>
      </c>
      <c r="G24" s="83">
        <f t="array" ref="G24">SUM(B24:F24*$B$21:$F$21)</f>
        <v>5.5494141843829299</v>
      </c>
      <c r="H24" s="36" t="str">
        <f t="shared" si="0"/>
        <v>CH2</v>
      </c>
      <c r="I24" s="95">
        <f t="shared" si="1"/>
        <v>0.77777777777777779</v>
      </c>
      <c r="J24" s="96">
        <f t="shared" si="2"/>
        <v>0.125</v>
      </c>
      <c r="K24" s="96">
        <f t="shared" si="3"/>
        <v>0</v>
      </c>
      <c r="L24" s="96">
        <f t="shared" si="4"/>
        <v>0</v>
      </c>
      <c r="M24" s="96">
        <f t="shared" si="5"/>
        <v>0</v>
      </c>
      <c r="N24" s="97">
        <f t="shared" si="6"/>
        <v>0.68038122600023243</v>
      </c>
      <c r="O24" s="95">
        <f>I24*'aij-UNIFAC (LLE)'!$D11/I$41</f>
        <v>0.64859299931365821</v>
      </c>
      <c r="P24" s="96">
        <f>J24*'aij-UNIFAC (LLE)'!$D11/J$41</f>
        <v>0.12534818941504181</v>
      </c>
      <c r="Q24" s="96">
        <f>K24*'aij-UNIFAC (LLE)'!$D11/K$41</f>
        <v>0</v>
      </c>
      <c r="R24" s="96">
        <f>L24*'aij-UNIFAC (LLE)'!$D11/L$41</f>
        <v>0</v>
      </c>
      <c r="S24" s="96">
        <f>M24*'aij-UNIFAC (LLE)'!$D11/M$41</f>
        <v>0</v>
      </c>
      <c r="T24" s="98">
        <f>N24*'aij-UNIFAC (LLE)'!$D11/N$41</f>
        <v>0.57334302709135965</v>
      </c>
      <c r="U24" s="95">
        <v>0.86258246124719329</v>
      </c>
      <c r="V24" s="99">
        <v>0.75780407426268126</v>
      </c>
      <c r="W24" s="96">
        <v>0.31713896453518281</v>
      </c>
      <c r="X24" s="96">
        <v>0.71158633622681877</v>
      </c>
      <c r="Y24" s="99">
        <v>1</v>
      </c>
      <c r="Z24" s="100">
        <v>0.83770912628876992</v>
      </c>
      <c r="AA24" s="101">
        <f t="shared" si="7"/>
        <v>0.75191999426451195</v>
      </c>
      <c r="AB24" s="102">
        <f t="shared" si="8"/>
        <v>0.16540975916103581</v>
      </c>
      <c r="AC24" s="102">
        <f t="shared" si="9"/>
        <v>0</v>
      </c>
      <c r="AD24" s="102">
        <f t="shared" si="10"/>
        <v>0</v>
      </c>
      <c r="AE24" s="102">
        <f t="shared" si="11"/>
        <v>0</v>
      </c>
      <c r="AF24" s="97">
        <f t="shared" si="12"/>
        <v>0.68441778786795782</v>
      </c>
      <c r="AG24" s="95">
        <v>1.0003167382412905</v>
      </c>
      <c r="AH24" s="96">
        <v>1.2852595002267069</v>
      </c>
      <c r="AI24" s="99">
        <v>1.2775559273734912E-2</v>
      </c>
      <c r="AJ24" s="99">
        <v>1.3378907262909103</v>
      </c>
      <c r="AK24" s="99">
        <v>1</v>
      </c>
      <c r="AL24" s="100">
        <v>1.0164287187860233</v>
      </c>
      <c r="AM24" s="103">
        <f>'aij-UNIFAC (LLE)'!$D11*(1-LN(U24)-AG24)</f>
        <v>7.9654206147636727E-2</v>
      </c>
      <c r="AN24" s="104">
        <f>'aij-UNIFAC (LLE)'!$D11*(1-LN(V24)-AH24)</f>
        <v>-4.2817119749630943E-3</v>
      </c>
      <c r="AO24" s="104">
        <f>'aij-UNIFAC (LLE)'!$D11*(1-LN(W24)-AI24)</f>
        <v>1.1532454206988745</v>
      </c>
      <c r="AP24" s="104">
        <f>'aij-UNIFAC (LLE)'!$D11*(1-LN(X24)-AJ24)</f>
        <v>1.278611224514581E-3</v>
      </c>
      <c r="AQ24" s="104">
        <f>'aij-UNIFAC (LLE)'!$D11*(1-LN(Y24)-AK24)</f>
        <v>0</v>
      </c>
      <c r="AR24" s="105">
        <f>'aij-UNIFAC (LLE)'!$D11*(1-LN(Z24)-AL24)</f>
        <v>8.6754037303514719E-2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0.86258246124719329</v>
      </c>
      <c r="V25" s="99">
        <v>0.75780407426268126</v>
      </c>
      <c r="W25" s="99">
        <v>0.31713896453518281</v>
      </c>
      <c r="X25" s="99">
        <v>0.71158633622681877</v>
      </c>
      <c r="Y25" s="99">
        <v>1</v>
      </c>
      <c r="Z25" s="100">
        <v>0.83770912628876992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1.0003167382412905</v>
      </c>
      <c r="AH25" s="99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1.0164287187860233</v>
      </c>
      <c r="AM25" s="103">
        <f>'aij-UNIFAC (LLE)'!$D12*(1-LN(U25)-AG25)</f>
        <v>3.3631775929002176E-2</v>
      </c>
      <c r="AN25" s="104">
        <f>'aij-UNIFAC (LLE)'!$D12*(1-LN(V25)-AH25)</f>
        <v>-1.8078339449844175E-3</v>
      </c>
      <c r="AO25" s="104">
        <f>'aij-UNIFAC (LLE)'!$D12*(1-LN(W25)-AI25)</f>
        <v>0.48692584429508029</v>
      </c>
      <c r="AP25" s="104">
        <f>'aij-UNIFAC (LLE)'!$D12*(1-LN(X25)-AJ25)</f>
        <v>5.3985807257282302E-4</v>
      </c>
      <c r="AQ25" s="104">
        <f>'aij-UNIFAC (LLE)'!$D12*(1-LN(Y25)-AK25)</f>
        <v>0</v>
      </c>
      <c r="AR25" s="105">
        <f>'aij-UNIFAC (LLE)'!$D12*(1-LN(Z25)-AL25)</f>
        <v>3.6629482417039547E-2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0</v>
      </c>
      <c r="C26" s="193">
        <f>'UNIFAC (LLEa)'!C27</f>
        <v>4</v>
      </c>
      <c r="D26" s="193">
        <f>'UNIFAC (LLEa)'!D27</f>
        <v>0</v>
      </c>
      <c r="E26" s="193">
        <f>'UNIFAC (LLEa)'!E27</f>
        <v>5</v>
      </c>
      <c r="F26" s="193">
        <f>'UNIFAC (LLEa)'!F27</f>
        <v>0</v>
      </c>
      <c r="G26" s="83">
        <f t="array" ref="G26">SUM(B26:F26*$B$21:$F$21)</f>
        <v>0.55600004170907746</v>
      </c>
      <c r="H26" s="36" t="str">
        <f t="shared" si="0"/>
        <v>ACH</v>
      </c>
      <c r="I26" s="95">
        <f t="shared" si="1"/>
        <v>0</v>
      </c>
      <c r="J26" s="96">
        <f t="shared" si="2"/>
        <v>0.5</v>
      </c>
      <c r="K26" s="96">
        <f t="shared" si="3"/>
        <v>0</v>
      </c>
      <c r="L26" s="96">
        <f t="shared" si="4"/>
        <v>0.7142857142857143</v>
      </c>
      <c r="M26" s="96">
        <f t="shared" si="5"/>
        <v>0</v>
      </c>
      <c r="N26" s="97">
        <f t="shared" si="6"/>
        <v>6.8167914209536856E-2</v>
      </c>
      <c r="O26" s="95">
        <f>I26*'aij-UNIFAC (LLE)'!$D13/I$41</f>
        <v>0</v>
      </c>
      <c r="P26" s="96">
        <f>J26*'aij-UNIFAC (LLE)'!$D13/J$41</f>
        <v>0.37140204271123495</v>
      </c>
      <c r="Q26" s="96">
        <f>K26*'aij-UNIFAC (LLE)'!$D13/K$41</f>
        <v>0</v>
      </c>
      <c r="R26" s="96">
        <f>L26*'aij-UNIFAC (LLE)'!$D13/L$41</f>
        <v>0.5701254275940707</v>
      </c>
      <c r="S26" s="96">
        <f>M26*'aij-UNIFAC (LLE)'!$D13/M$41</f>
        <v>0</v>
      </c>
      <c r="T26" s="98">
        <f>N26*'aij-UNIFAC (LLE)'!$D13/N$41</f>
        <v>4.2550870654460629E-2</v>
      </c>
      <c r="U26" s="95">
        <v>1.3794271783865653</v>
      </c>
      <c r="V26" s="96">
        <v>1.3462575806205066</v>
      </c>
      <c r="W26" s="96">
        <v>0.2863967113010697</v>
      </c>
      <c r="X26" s="99">
        <v>1.2332293994061172</v>
      </c>
      <c r="Y26" s="99">
        <v>1.4696747042862897</v>
      </c>
      <c r="Z26" s="100">
        <v>1.3498383005451704</v>
      </c>
      <c r="AA26" s="101">
        <f t="shared" si="7"/>
        <v>0</v>
      </c>
      <c r="AB26" s="102">
        <f t="shared" si="8"/>
        <v>0.27587740121771587</v>
      </c>
      <c r="AC26" s="102">
        <f t="shared" si="9"/>
        <v>0</v>
      </c>
      <c r="AD26" s="102">
        <f t="shared" si="10"/>
        <v>0.46230281881750823</v>
      </c>
      <c r="AE26" s="102">
        <f t="shared" si="11"/>
        <v>0</v>
      </c>
      <c r="AF26" s="97">
        <f t="shared" si="12"/>
        <v>3.1522939182623028E-2</v>
      </c>
      <c r="AG26" s="95">
        <v>0.60997613832191244</v>
      </c>
      <c r="AH26" s="99">
        <v>0.70356004480191325</v>
      </c>
      <c r="AI26" s="99">
        <v>5.5997864440543062E-2</v>
      </c>
      <c r="AJ26" s="99">
        <v>0.78677617042954884</v>
      </c>
      <c r="AK26" s="99">
        <v>0.5916124096015547</v>
      </c>
      <c r="AL26" s="100">
        <v>0.61873104191018513</v>
      </c>
      <c r="AM26" s="103">
        <f>'aij-UNIFAC (LLE)'!$D13*(1-LN(U26)-AG26)</f>
        <v>2.7342214723029869E-2</v>
      </c>
      <c r="AN26" s="104">
        <f>'aij-UNIFAC (LLE)'!$D13*(1-LN(V26)-AH26)</f>
        <v>-3.5545007616133439E-4</v>
      </c>
      <c r="AO26" s="104">
        <f>'aij-UNIFAC (LLE)'!$D13*(1-LN(W26)-AI26)</f>
        <v>0.87775178496334361</v>
      </c>
      <c r="AP26" s="104">
        <f>'aij-UNIFAC (LLE)'!$D13*(1-LN(X26)-AJ26)</f>
        <v>1.4350291564633189E-3</v>
      </c>
      <c r="AQ26" s="104">
        <f>'aij-UNIFAC (LLE)'!$D13*(1-LN(Y26)-AK26)</f>
        <v>9.3386014788481297E-3</v>
      </c>
      <c r="AR26" s="105">
        <f>'aij-UNIFAC (LLE)'!$D13*(1-LN(Z26)-AL26)</f>
        <v>3.2513660074922866E-2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2</v>
      </c>
      <c r="D27" s="193">
        <f>'UNIFAC (LLEa)'!D28</f>
        <v>0</v>
      </c>
      <c r="E27" s="193">
        <f>'UNIFAC (LLEa)'!E28</f>
        <v>1</v>
      </c>
      <c r="F27" s="193">
        <f>'UNIFAC (LLEa)'!F28</f>
        <v>0</v>
      </c>
      <c r="G27" s="83">
        <f t="array" ref="G27">SUM(B27:F27*$B$21:$F$21)</f>
        <v>0.27800002085453873</v>
      </c>
      <c r="H27" s="36" t="str">
        <f t="shared" si="0"/>
        <v>ACCH2</v>
      </c>
      <c r="I27" s="95">
        <f t="shared" si="1"/>
        <v>0</v>
      </c>
      <c r="J27" s="96">
        <f t="shared" si="2"/>
        <v>0.25</v>
      </c>
      <c r="K27" s="96">
        <f t="shared" si="3"/>
        <v>0</v>
      </c>
      <c r="L27" s="96">
        <f t="shared" si="4"/>
        <v>0.14285714285714285</v>
      </c>
      <c r="M27" s="96">
        <f t="shared" si="5"/>
        <v>0</v>
      </c>
      <c r="N27" s="97">
        <f t="shared" si="6"/>
        <v>3.4083957104768428E-2</v>
      </c>
      <c r="O27" s="95">
        <f>I27*'aij-UNIFAC (LLE)'!$D14/I$41</f>
        <v>0</v>
      </c>
      <c r="P27" s="96">
        <f>J27*'aij-UNIFAC (LLE)'!$D14/J$41</f>
        <v>0.30640668523676884</v>
      </c>
      <c r="Q27" s="96">
        <f>K27*'aij-UNIFAC (LLE)'!$D14/K$41</f>
        <v>0</v>
      </c>
      <c r="R27" s="96">
        <f>L27*'aij-UNIFAC (LLE)'!$D14/L$41</f>
        <v>0.18814139110604328</v>
      </c>
      <c r="S27" s="96">
        <f>M27*'aij-UNIFAC (LLE)'!$D14/M$41</f>
        <v>0</v>
      </c>
      <c r="T27" s="98">
        <f>N27*'aij-UNIFAC (LLE)'!$D14/N$41</f>
        <v>3.5104468289930017E-2</v>
      </c>
      <c r="U27" s="95">
        <v>1.3756205346782489</v>
      </c>
      <c r="V27" s="96">
        <v>0.99347716965601052</v>
      </c>
      <c r="W27" s="96">
        <v>0.50499176955805858</v>
      </c>
      <c r="X27" s="99">
        <v>0.87010606614215424</v>
      </c>
      <c r="Y27" s="99">
        <v>1.4741177886932793</v>
      </c>
      <c r="Z27" s="100">
        <v>1.3112976456490788</v>
      </c>
      <c r="AA27" s="101">
        <f t="shared" si="7"/>
        <v>0</v>
      </c>
      <c r="AB27" s="102">
        <f t="shared" si="8"/>
        <v>0.30841844643783967</v>
      </c>
      <c r="AC27" s="102">
        <f t="shared" si="9"/>
        <v>0</v>
      </c>
      <c r="AD27" s="102">
        <f t="shared" si="10"/>
        <v>0.21622811106261788</v>
      </c>
      <c r="AE27" s="102">
        <f t="shared" si="11"/>
        <v>0</v>
      </c>
      <c r="AF27" s="97">
        <f t="shared" si="12"/>
        <v>2.6770785722377826E-2</v>
      </c>
      <c r="AG27" s="95">
        <v>0.64863684783902198</v>
      </c>
      <c r="AH27" s="99">
        <v>1.0593664712138411</v>
      </c>
      <c r="AI27" s="99">
        <v>5.0639268591451167E-9</v>
      </c>
      <c r="AJ27" s="99">
        <v>1.2119944291609255</v>
      </c>
      <c r="AK27" s="99">
        <v>0.70457583072813879</v>
      </c>
      <c r="AL27" s="100">
        <v>0.6850130828167621</v>
      </c>
      <c r="AM27" s="103">
        <f>'aij-UNIFAC (LLE)'!$D14*(1-LN(U27)-AG27)</f>
        <v>2.1422428433285023E-2</v>
      </c>
      <c r="AN27" s="104">
        <f>'aij-UNIFAC (LLE)'!$D14*(1-LN(V27)-AH27)</f>
        <v>-3.4862701003296928E-2</v>
      </c>
      <c r="AO27" s="104">
        <f>'aij-UNIFAC (LLE)'!$D14*(1-LN(W27)-AI27)</f>
        <v>1.1109206741691282</v>
      </c>
      <c r="AP27" s="104">
        <f>'aij-UNIFAC (LLE)'!$D14*(1-LN(X27)-AJ27)</f>
        <v>-4.8083817871517859E-2</v>
      </c>
      <c r="AQ27" s="104">
        <f>'aij-UNIFAC (LLE)'!$D14*(1-LN(Y27)-AK27)</f>
        <v>-6.1139451265646308E-2</v>
      </c>
      <c r="AR27" s="105">
        <f>'aij-UNIFAC (LLE)'!$D14*(1-LN(Z27)-AL27)</f>
        <v>2.9020002701134286E-2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1.3112976456490788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0.6850130828167621</v>
      </c>
      <c r="AM28" s="103">
        <f>'aij-UNIFAC (LLE)'!$D15*(1-LN(U28)-AG28)</f>
        <v>3.1419561702151363E-2</v>
      </c>
      <c r="AN28" s="104">
        <f>'aij-UNIFAC (LLE)'!$D15*(1-LN(V28)-AH28)</f>
        <v>-5.113196147150216E-2</v>
      </c>
      <c r="AO28" s="104">
        <f>'aij-UNIFAC (LLE)'!$D15*(1-LN(W28)-AI28)</f>
        <v>1.6293503221147212</v>
      </c>
      <c r="AP28" s="104">
        <f>'aij-UNIFAC (LLE)'!$D15*(1-LN(X28)-AJ28)</f>
        <v>-7.0522932878226183E-2</v>
      </c>
      <c r="AQ28" s="104">
        <f>'aij-UNIFAC (LLE)'!$D15*(1-LN(Y28)-AK28)</f>
        <v>-8.9671195189614583E-2</v>
      </c>
      <c r="AR28" s="105">
        <f>'aij-UNIFAC (LLE)'!$D15*(1-LN(Z28)-AL28)</f>
        <v>4.2562670628330281E-2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1</v>
      </c>
      <c r="C29" s="193">
        <f>'UNIFAC (LLEa)'!C30</f>
        <v>0</v>
      </c>
      <c r="D29" s="193">
        <f>'UNIFAC (LLEa)'!D30</f>
        <v>0</v>
      </c>
      <c r="E29" s="193">
        <f>'UNIFAC (LLEa)'!E30</f>
        <v>0</v>
      </c>
      <c r="F29" s="193">
        <f>'UNIFAC (LLEa)'!F30</f>
        <v>0</v>
      </c>
      <c r="G29" s="83">
        <f t="array" ref="G29">SUM(B29:F29*$B$21:$F$21)</f>
        <v>0.77291631056509436</v>
      </c>
      <c r="H29" s="36" t="str">
        <f t="shared" si="0"/>
        <v>OH</v>
      </c>
      <c r="I29" s="95">
        <f t="shared" si="1"/>
        <v>0.1111111111111111</v>
      </c>
      <c r="J29" s="96">
        <f t="shared" si="2"/>
        <v>0</v>
      </c>
      <c r="K29" s="96">
        <f t="shared" si="3"/>
        <v>0</v>
      </c>
      <c r="L29" s="96">
        <f t="shared" si="4"/>
        <v>0</v>
      </c>
      <c r="M29" s="96">
        <f t="shared" si="5"/>
        <v>0</v>
      </c>
      <c r="N29" s="97">
        <f t="shared" si="6"/>
        <v>9.4762749635406887E-2</v>
      </c>
      <c r="O29" s="95">
        <f>I29*'aij-UNIFAC (LLE)'!$D16/I$41</f>
        <v>0.20590253946465339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</v>
      </c>
      <c r="S29" s="96">
        <f>M29*'aij-UNIFAC (LLE)'!$D16/M$41</f>
        <v>0</v>
      </c>
      <c r="T29" s="98">
        <f>N29*'aij-UNIFAC (LLE)'!$D16/N$41</f>
        <v>0.17745463753824733</v>
      </c>
      <c r="U29" s="95">
        <v>0.29729904144569708</v>
      </c>
      <c r="V29" s="96">
        <v>7.211959366154283E-2</v>
      </c>
      <c r="W29" s="96">
        <v>1.5076190398931841</v>
      </c>
      <c r="X29" s="99">
        <v>8.1605881702306565E-2</v>
      </c>
      <c r="Y29" s="99">
        <v>0.11509481710145264</v>
      </c>
      <c r="Z29" s="100">
        <v>0.30005662999051319</v>
      </c>
      <c r="AA29" s="101">
        <f t="shared" si="7"/>
        <v>0.69257720597885741</v>
      </c>
      <c r="AB29" s="102">
        <f t="shared" si="8"/>
        <v>0</v>
      </c>
      <c r="AC29" s="102">
        <f t="shared" si="9"/>
        <v>0</v>
      </c>
      <c r="AD29" s="102">
        <f t="shared" si="10"/>
        <v>0</v>
      </c>
      <c r="AE29" s="102">
        <f t="shared" si="11"/>
        <v>0</v>
      </c>
      <c r="AF29" s="97">
        <f t="shared" si="12"/>
        <v>0.59140382115155354</v>
      </c>
      <c r="AG29" s="95">
        <v>0.99877844618275624</v>
      </c>
      <c r="AH29" s="99">
        <v>0.73305329152482734</v>
      </c>
      <c r="AI29" s="99">
        <v>0.90813621767355412</v>
      </c>
      <c r="AJ29" s="99">
        <v>0.8051060929079803</v>
      </c>
      <c r="AK29" s="99">
        <v>0.33260882012386883</v>
      </c>
      <c r="AL29" s="100">
        <v>1.0460866096931534</v>
      </c>
      <c r="AM29" s="103">
        <f>'aij-UNIFAC (LLE)'!$D16*(1-LN(U29)-AG29)</f>
        <v>1.4570859923991903</v>
      </c>
      <c r="AN29" s="104">
        <f>'aij-UNIFAC (LLE)'!$D16*(1-LN(V29)-AH29)</f>
        <v>3.4756514680048993</v>
      </c>
      <c r="AO29" s="104">
        <f>'aij-UNIFAC (LLE)'!$D16*(1-LN(W29)-AI29)</f>
        <v>-0.38240139513414123</v>
      </c>
      <c r="AP29" s="104">
        <f>'aij-UNIFAC (LLE)'!$D16*(1-LN(X29)-AJ29)</f>
        <v>3.2408974164198976</v>
      </c>
      <c r="AQ29" s="104">
        <f>'aij-UNIFAC (LLE)'!$D16*(1-LN(Y29)-AK29)</f>
        <v>3.3952682084054411</v>
      </c>
      <c r="AR29" s="105">
        <f>'aij-UNIFAC (LLE)'!$D16*(1-LN(Z29)-AL29)</f>
        <v>1.3892369349743017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0.28749869216583862</v>
      </c>
      <c r="V30" s="96">
        <v>0.18184921573248339</v>
      </c>
      <c r="W30" s="96">
        <v>0.7033952414758935</v>
      </c>
      <c r="X30" s="99">
        <v>0.17648516280611629</v>
      </c>
      <c r="Y30" s="99">
        <v>0.35271570801530017</v>
      </c>
      <c r="Z30" s="100">
        <v>0.28520718223575658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3.1389806811075824</v>
      </c>
      <c r="AH30" s="99">
        <v>2.0762130451937995</v>
      </c>
      <c r="AI30" s="99">
        <v>0.98043869766926783</v>
      </c>
      <c r="AJ30" s="99">
        <v>2.1465046767643616</v>
      </c>
      <c r="AK30" s="99">
        <v>1.5564300475353767</v>
      </c>
      <c r="AL30" s="100">
        <v>3.0552621166736214</v>
      </c>
      <c r="AM30" s="103">
        <f>'aij-UNIFAC (LLE)'!$D17*(1-LN(U30)-AG30)</f>
        <v>-2.7879941605495007</v>
      </c>
      <c r="AN30" s="104">
        <f>'aij-UNIFAC (LLE)'!$D17*(1-LN(V30)-AH30)</f>
        <v>1.9630103077538417</v>
      </c>
      <c r="AO30" s="104">
        <f>'aij-UNIFAC (LLE)'!$D17*(1-LN(W30)-AI30)</f>
        <v>1.1602461846509207</v>
      </c>
      <c r="AP30" s="104">
        <f>'aij-UNIFAC (LLE)'!$D17*(1-LN(X30)-AJ30)</f>
        <v>1.836955088705291</v>
      </c>
      <c r="AQ30" s="104">
        <f>'aij-UNIFAC (LLE)'!$D17*(1-LN(Y30)-AK30)</f>
        <v>1.5172107706408557</v>
      </c>
      <c r="AR30" s="105">
        <f>'aij-UNIFAC (LLE)'!$D17*(1-LN(Z30)-AL30)</f>
        <v>-2.501457743132685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1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8.8083679007636306E-2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1</v>
      </c>
      <c r="L31" s="96">
        <f t="shared" si="4"/>
        <v>0</v>
      </c>
      <c r="M31" s="96">
        <f t="shared" si="5"/>
        <v>0</v>
      </c>
      <c r="N31" s="97">
        <f t="shared" si="6"/>
        <v>1.0799424862264184E-2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1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2.3593757785443332E-2</v>
      </c>
      <c r="U31" s="95">
        <v>0.19713259257500174</v>
      </c>
      <c r="V31" s="96">
        <v>2.4913896485885892E-2</v>
      </c>
      <c r="W31" s="96">
        <v>1</v>
      </c>
      <c r="X31" s="99">
        <v>3.5014083947378864E-2</v>
      </c>
      <c r="Y31" s="99">
        <v>1.2775559273734912E-2</v>
      </c>
      <c r="Z31" s="100">
        <v>0.19634446238934258</v>
      </c>
      <c r="AA31" s="101">
        <f t="shared" si="7"/>
        <v>0</v>
      </c>
      <c r="AB31" s="102">
        <f t="shared" si="8"/>
        <v>0</v>
      </c>
      <c r="AC31" s="102">
        <f t="shared" si="9"/>
        <v>1</v>
      </c>
      <c r="AD31" s="102">
        <f t="shared" si="10"/>
        <v>0</v>
      </c>
      <c r="AE31" s="102">
        <f t="shared" si="11"/>
        <v>0</v>
      </c>
      <c r="AF31" s="97">
        <f t="shared" si="12"/>
        <v>0.12016512968243499</v>
      </c>
      <c r="AG31" s="95">
        <v>1.3361022009035697</v>
      </c>
      <c r="AH31" s="99">
        <v>0.36959533724934757</v>
      </c>
      <c r="AI31" s="99">
        <v>1</v>
      </c>
      <c r="AJ31" s="99">
        <v>0.34933078436147968</v>
      </c>
      <c r="AK31" s="99">
        <v>0.31713896453518281</v>
      </c>
      <c r="AL31" s="100">
        <v>1.3073913999885773</v>
      </c>
      <c r="AM31" s="103">
        <f>'aij-UNIFAC (LLE)'!$D18*(1-LN(U31)-AG31)</f>
        <v>1.802887123781362</v>
      </c>
      <c r="AN31" s="104">
        <f>'aij-UNIFAC (LLE)'!$D18*(1-LN(V31)-AH31)</f>
        <v>6.05182788298871</v>
      </c>
      <c r="AO31" s="104">
        <f>'aij-UNIFAC (LLE)'!$D18*(1-LN(W31)-AI31)</f>
        <v>0</v>
      </c>
      <c r="AP31" s="104">
        <f>'aij-UNIFAC (LLE)'!$D18*(1-LN(X31)-AJ31)</f>
        <v>5.6037437618053731</v>
      </c>
      <c r="AQ31" s="104">
        <f>'aij-UNIFAC (LLE)'!$D18*(1-LN(Y31)-AK31)</f>
        <v>7.060315360769307</v>
      </c>
      <c r="AR31" s="105">
        <f>'aij-UNIFAC (LLE)'!$D18*(1-LN(Z31)-AL31)</f>
        <v>1.848690621569099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0.39708561579005019</v>
      </c>
      <c r="V32" s="96">
        <v>0.11647774951383864</v>
      </c>
      <c r="W32" s="96">
        <v>0.31491306519734752</v>
      </c>
      <c r="X32" s="99">
        <v>7.2898669156508833E-2</v>
      </c>
      <c r="Y32" s="99">
        <v>5.1915552327153427E-4</v>
      </c>
      <c r="Z32" s="100">
        <v>0.36299811299155604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2.4293750973621426</v>
      </c>
      <c r="AH32" s="99">
        <v>3.5695574630782345</v>
      </c>
      <c r="AI32" s="99">
        <v>7.37914953953213</v>
      </c>
      <c r="AJ32" s="99">
        <v>3.8884972315996258</v>
      </c>
      <c r="AK32" s="99">
        <v>1.7091083918547825</v>
      </c>
      <c r="AL32" s="100">
        <v>3.3730505403853051</v>
      </c>
      <c r="AM32" s="103">
        <f>'aij-UNIFAC (LLE)'!$D19*(1-LN(U32)-AG32)</f>
        <v>-0.3439247782485656</v>
      </c>
      <c r="AN32" s="104">
        <f>'aij-UNIFAC (LLE)'!$D19*(1-LN(V32)-AH32)</f>
        <v>-0.28526166434295541</v>
      </c>
      <c r="AO32" s="104">
        <f>'aij-UNIFAC (LLE)'!$D19*(1-LN(W32)-AI32)</f>
        <v>-3.5521097968935873</v>
      </c>
      <c r="AP32" s="104">
        <f>'aij-UNIFAC (LLE)'!$D19*(1-LN(X32)-AJ32)</f>
        <v>-0.18347238829289353</v>
      </c>
      <c r="AQ32" s="104">
        <f>'aij-UNIFAC (LLE)'!$D19*(1-LN(Y32)-AK32)</f>
        <v>4.6608550944778742</v>
      </c>
      <c r="AR32" s="105">
        <f>'aij-UNIFAC (LLE)'!$D19*(1-LN(Z32)-AL32)</f>
        <v>-0.9245911701532139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</v>
      </c>
      <c r="H33" s="36" t="str">
        <f t="shared" si="0"/>
        <v>CH3CO</v>
      </c>
      <c r="I33" s="95">
        <f t="shared" si="1"/>
        <v>0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</v>
      </c>
      <c r="O33" s="95">
        <f>I33*'aij-UNIFAC (LLE)'!$D20/I$41</f>
        <v>0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</v>
      </c>
      <c r="U33" s="95">
        <v>0.3271550189211585</v>
      </c>
      <c r="V33" s="96">
        <v>0.13088738082805049</v>
      </c>
      <c r="W33" s="96">
        <v>1.7792999910100182</v>
      </c>
      <c r="X33" s="99">
        <v>0.13606462881294015</v>
      </c>
      <c r="Y33" s="99">
        <v>0.20492562572161924</v>
      </c>
      <c r="Z33" s="100">
        <v>0.33893054187176647</v>
      </c>
      <c r="AA33" s="101">
        <f t="shared" si="7"/>
        <v>0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</v>
      </c>
      <c r="AG33" s="95">
        <v>1.0720210737300011</v>
      </c>
      <c r="AH33" s="99">
        <v>1.0939732465709917</v>
      </c>
      <c r="AI33" s="99">
        <v>0.11894077096783076</v>
      </c>
      <c r="AJ33" s="99">
        <v>1.1499298261051696</v>
      </c>
      <c r="AK33" s="99">
        <v>0.79992017791999159</v>
      </c>
      <c r="AL33" s="100">
        <v>1.0649243250522067</v>
      </c>
      <c r="AM33" s="103">
        <f>'aij-UNIFAC (LLE)'!$D20*(1-LN(U33)-AG33)</f>
        <v>1.5554065230704446</v>
      </c>
      <c r="AN33" s="104">
        <f>'aij-UNIFAC (LLE)'!$D20*(1-LN(V33)-AH33)</f>
        <v>2.8858938137266694</v>
      </c>
      <c r="AO33" s="104">
        <f>'aij-UNIFAC (LLE)'!$D20*(1-LN(W33)-AI33)</f>
        <v>0.45360073786443261</v>
      </c>
      <c r="AP33" s="104">
        <f>'aij-UNIFAC (LLE)'!$D20*(1-LN(X33)-AJ33)</f>
        <v>2.7449068566197856</v>
      </c>
      <c r="AQ33" s="104">
        <f>'aij-UNIFAC (LLE)'!$D20*(1-LN(Y33)-AK33)</f>
        <v>2.6563597277957203</v>
      </c>
      <c r="AR33" s="105">
        <f>'aij-UNIFAC (LLE)'!$D20*(1-LN(Z33)-AL33)</f>
        <v>1.5133492090591101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0.46910855406947333</v>
      </c>
      <c r="V34" s="96">
        <v>0.30492697810450747</v>
      </c>
      <c r="W34" s="96">
        <v>3.233516842020296</v>
      </c>
      <c r="X34" s="99">
        <v>0.31454629529400052</v>
      </c>
      <c r="Y34" s="99">
        <v>0.58844606877609129</v>
      </c>
      <c r="Z34" s="100">
        <v>0.51552134284560447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3.5064513967888584</v>
      </c>
      <c r="AH34" s="99">
        <v>0.76149016513457735</v>
      </c>
      <c r="AI34" s="99">
        <v>0.12345234716243569</v>
      </c>
      <c r="AJ34" s="99">
        <v>0.90551990326550535</v>
      </c>
      <c r="AK34" s="99">
        <v>0.61261303839653836</v>
      </c>
      <c r="AL34" s="100">
        <v>3.1081911968091225</v>
      </c>
      <c r="AM34" s="103">
        <f>'aij-UNIFAC (LLE)'!$D21*(1-LN(U34)-AG34)</f>
        <v>-1.658554741502777</v>
      </c>
      <c r="AN34" s="104">
        <f>'aij-UNIFAC (LLE)'!$D21*(1-LN(V34)-AH34)</f>
        <v>1.3520307572938528</v>
      </c>
      <c r="AO34" s="104">
        <f>'aij-UNIFAC (LLE)'!$D21*(1-LN(W34)-AI34)</f>
        <v>-0.28157751737898118</v>
      </c>
      <c r="AP34" s="104">
        <f>'aij-UNIFAC (LLE)'!$D21*(1-LN(X34)-AJ34)</f>
        <v>1.186046693973329</v>
      </c>
      <c r="AQ34" s="104">
        <f>'aij-UNIFAC (LLE)'!$D21*(1-LN(Y34)-AK34)</f>
        <v>0.86993879801027796</v>
      </c>
      <c r="AR34" s="105">
        <f>'aij-UNIFAC (LLE)'!$D21*(1-LN(Z34)-AL34)</f>
        <v>-1.3704426622715067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0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</v>
      </c>
      <c r="N35" s="97">
        <f t="shared" si="6"/>
        <v>0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0</v>
      </c>
      <c r="U35" s="95">
        <v>0.78937458820261841</v>
      </c>
      <c r="V35" s="96">
        <v>0.37903656533811386</v>
      </c>
      <c r="W35" s="96">
        <v>4.7681836853391824</v>
      </c>
      <c r="X35" s="99">
        <v>0.33292844711013897</v>
      </c>
      <c r="Y35" s="99">
        <v>0.62653546945671312</v>
      </c>
      <c r="Z35" s="100">
        <v>0.83623794975010379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</v>
      </c>
      <c r="AF35" s="97">
        <f t="shared" si="12"/>
        <v>0</v>
      </c>
      <c r="AG35" s="95">
        <v>0.46824224845059814</v>
      </c>
      <c r="AH35" s="99">
        <v>0.40357563396458607</v>
      </c>
      <c r="AI35" s="99">
        <v>0.11216044139014483</v>
      </c>
      <c r="AJ35" s="99">
        <v>0.49180440802319614</v>
      </c>
      <c r="AK35" s="99">
        <v>2.8816141817132788E-3</v>
      </c>
      <c r="AL35" s="100">
        <v>0.45433995573942482</v>
      </c>
      <c r="AM35" s="103">
        <f>'aij-UNIFAC (LLE)'!$D22*(1-LN(U35)-AG35)</f>
        <v>0.94036500034102599</v>
      </c>
      <c r="AN35" s="104">
        <f>'aij-UNIFAC (LLE)'!$D22*(1-LN(V35)-AH35)</f>
        <v>1.9174534865360109</v>
      </c>
      <c r="AO35" s="104">
        <f>'aij-UNIFAC (LLE)'!$D22*(1-LN(W35)-AI35)</f>
        <v>-0.82513009550554195</v>
      </c>
      <c r="AP35" s="104">
        <f>'aij-UNIFAC (LLE)'!$D22*(1-LN(X35)-AJ35)</f>
        <v>1.9682204917949466</v>
      </c>
      <c r="AQ35" s="104">
        <f>'aij-UNIFAC (LLE)'!$D22*(1-LN(Y35)-AK35)</f>
        <v>1.7927539708188094</v>
      </c>
      <c r="AR35" s="105">
        <f>'aij-UNIFAC (LLE)'!$D22*(1-LN(Z35)-AL35)</f>
        <v>0.88679059704579921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0.13728275904699452</v>
      </c>
      <c r="V36" s="96">
        <v>0.37635315626799426</v>
      </c>
      <c r="W36" s="96">
        <v>1.0214236442902456</v>
      </c>
      <c r="X36" s="99">
        <v>0.56803318687010551</v>
      </c>
      <c r="Y36" s="99">
        <v>3.8332944566444621E-2</v>
      </c>
      <c r="Z36" s="100">
        <v>0.18553283462355569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3.0715678806666986</v>
      </c>
      <c r="AH36" s="99">
        <v>1.9771905276096784</v>
      </c>
      <c r="AI36" s="99">
        <v>0.27408556450075916</v>
      </c>
      <c r="AJ36" s="99">
        <v>1.6909569457299176</v>
      </c>
      <c r="AK36" s="99">
        <v>2.9259542322852581</v>
      </c>
      <c r="AL36" s="100">
        <v>2.9437909701131555</v>
      </c>
      <c r="AM36" s="103">
        <f>'aij-UNIFAC (LLE)'!$D23*(1-LN(U36)-AG36)</f>
        <v>-0.14835801918292066</v>
      </c>
      <c r="AN36" s="104">
        <f>'aij-UNIFAC (LLE)'!$D23*(1-LN(V36)-AH36)</f>
        <v>6.3596281967591032E-5</v>
      </c>
      <c r="AO36" s="104">
        <f>'aij-UNIFAC (LLE)'!$D23*(1-LN(W36)-AI36)</f>
        <v>1.2177510652201995</v>
      </c>
      <c r="AP36" s="104">
        <f>'aij-UNIFAC (LLE)'!$D23*(1-LN(X36)-AJ36)</f>
        <v>-0.21665925161335459</v>
      </c>
      <c r="AQ36" s="104">
        <f>'aij-UNIFAC (LLE)'!$D23*(1-LN(Y36)-AK36)</f>
        <v>2.3077290507230974</v>
      </c>
      <c r="AR36" s="105">
        <f>'aij-UNIFAC (LLE)'!$D23*(1-LN(Z36)-AL36)</f>
        <v>-0.44801434985187821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0.17155455634823896</v>
      </c>
      <c r="V37" s="96">
        <v>0.51834723870373589</v>
      </c>
      <c r="W37" s="96">
        <v>0.80568233560535418</v>
      </c>
      <c r="X37" s="99">
        <v>0.63016099604652698</v>
      </c>
      <c r="Y37" s="99">
        <v>0.10853372971080172</v>
      </c>
      <c r="Z37" s="100">
        <v>0.22624743363899119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0.44202373594317768</v>
      </c>
      <c r="AH37" s="99">
        <v>0.48124295531549122</v>
      </c>
      <c r="AI37" s="99">
        <v>0.4898114796574779</v>
      </c>
      <c r="AJ37" s="99">
        <v>0.56336303611176775</v>
      </c>
      <c r="AK37" s="99">
        <v>5.1479339534634396E-3</v>
      </c>
      <c r="AL37" s="100">
        <v>0.48463905869799717</v>
      </c>
      <c r="AM37" s="103">
        <f>'aij-UNIFAC (LLE)'!$D24*(1-LN(U37)-AG37)</f>
        <v>1.8102475670778715</v>
      </c>
      <c r="AN37" s="104">
        <f>'aij-UNIFAC (LLE)'!$D24*(1-LN(V37)-AH37)</f>
        <v>0.91717622958007661</v>
      </c>
      <c r="AO37" s="104">
        <f>'aij-UNIFAC (LLE)'!$D24*(1-LN(W37)-AI37)</f>
        <v>0.5664783220704207</v>
      </c>
      <c r="AP37" s="104">
        <f>'aij-UNIFAC (LLE)'!$D24*(1-LN(X37)-AJ37)</f>
        <v>0.700765187344361</v>
      </c>
      <c r="AQ37" s="104">
        <f>'aij-UNIFAC (LLE)'!$D24*(1-LN(Y37)-AK37)</f>
        <v>2.5081261510098423</v>
      </c>
      <c r="AR37" s="105">
        <f>'aij-UNIFAC (LLE)'!$D24*(1-LN(Z37)-AL37)</f>
        <v>1.5611598450244057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1.8821115574951153</v>
      </c>
      <c r="V38" s="96">
        <v>1.407914918586441</v>
      </c>
      <c r="W38" s="96">
        <v>0.28842104855631745</v>
      </c>
      <c r="X38" s="99">
        <v>1.3060497894358567</v>
      </c>
      <c r="Y38" s="99">
        <v>2.2660644591285211</v>
      </c>
      <c r="Z38" s="100">
        <v>1.7901825451542512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0.91176420404696001</v>
      </c>
      <c r="AH38" s="99">
        <v>0.97147934237581479</v>
      </c>
      <c r="AI38" s="99">
        <v>8.3466179238351382E-2</v>
      </c>
      <c r="AJ38" s="99">
        <v>0.98789414114954543</v>
      </c>
      <c r="AK38" s="99">
        <v>0.91066783999947831</v>
      </c>
      <c r="AL38" s="100">
        <v>0.91511646185273066</v>
      </c>
      <c r="AM38" s="103">
        <f>'aij-UNIFAC (LLE)'!$D25*(1-LN(U38)-AG38)</f>
        <v>-0.91636294681598929</v>
      </c>
      <c r="AN38" s="104">
        <f>'aij-UNIFAC (LLE)'!$D25*(1-LN(V38)-AH38)</f>
        <v>-0.52808416420912385</v>
      </c>
      <c r="AO38" s="104">
        <f>'aij-UNIFAC (LLE)'!$D25*(1-LN(W38)-AI38)</f>
        <v>3.6372172288565623</v>
      </c>
      <c r="AP38" s="104">
        <f>'aij-UNIFAC (LLE)'!$D25*(1-LN(X38)-AJ38)</f>
        <v>-0.42925378059141678</v>
      </c>
      <c r="AQ38" s="104">
        <f>'aij-UNIFAC (LLE)'!$D25*(1-LN(Y38)-AK38)</f>
        <v>-1.2271517631360123</v>
      </c>
      <c r="AR38" s="105">
        <f>'aij-UNIFAC (LLE)'!$D25*(1-LN(Z38)-AL38)</f>
        <v>-0.83767895205339726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1.0275026497524471</v>
      </c>
      <c r="V39" s="96">
        <v>1.4417478290967614</v>
      </c>
      <c r="W39" s="96">
        <v>0.30218584686982602</v>
      </c>
      <c r="X39" s="99">
        <v>1.6726635807210728</v>
      </c>
      <c r="Y39" s="99">
        <v>0.97515863050911167</v>
      </c>
      <c r="Z39" s="100">
        <v>1.0578490333125679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1.0275530385057328</v>
      </c>
      <c r="AH39" s="99">
        <v>0.77631004371064338</v>
      </c>
      <c r="AI39" s="99">
        <v>6.9919839998489608E-2</v>
      </c>
      <c r="AJ39" s="99">
        <v>0.68520511963140052</v>
      </c>
      <c r="AK39" s="99">
        <v>0.93127024594904473</v>
      </c>
      <c r="AL39" s="100">
        <v>0.99150741869260817</v>
      </c>
      <c r="AM39" s="103">
        <f>'aij-UNIFAC (LLE)'!$D26*(1-LN(U39)-AG39)</f>
        <v>-0.11943047783974645</v>
      </c>
      <c r="AN39" s="104">
        <f>'aij-UNIFAC (LLE)'!$D26*(1-LN(V39)-AH39)</f>
        <v>-0.31049096219471317</v>
      </c>
      <c r="AO39" s="104">
        <f>'aij-UNIFAC (LLE)'!$D26*(1-LN(W39)-AI39)</f>
        <v>4.6449164009878237</v>
      </c>
      <c r="AP39" s="104">
        <f>'aij-UNIFAC (LLE)'!$D26*(1-LN(X39)-AJ39)</f>
        <v>-0.4359753958127468</v>
      </c>
      <c r="AQ39" s="104">
        <f>'aij-UNIFAC (LLE)'!$D26*(1-LN(Y39)-AK39)</f>
        <v>0.20504457204735332</v>
      </c>
      <c r="AR39" s="105">
        <f>'aij-UNIFAC (LLE)'!$D26*(1-LN(Z39)-AL39)</f>
        <v>-0.10427519207544569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0.70052526279258709</v>
      </c>
      <c r="V40" s="108">
        <v>0.41531942620653683</v>
      </c>
      <c r="W40" s="108">
        <v>1.4452336507704617</v>
      </c>
      <c r="X40" s="111">
        <v>0.59734490828245557</v>
      </c>
      <c r="Y40" s="111">
        <v>4.8509596852346293E-2</v>
      </c>
      <c r="Z40" s="112">
        <v>0.6854202073056237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0.62796758378367756</v>
      </c>
      <c r="AH40" s="111">
        <v>1.1354182258706167</v>
      </c>
      <c r="AI40" s="111">
        <v>2.2351160285015359</v>
      </c>
      <c r="AJ40" s="111">
        <v>1.3794246318612051</v>
      </c>
      <c r="AK40" s="111">
        <v>0.55452904712035056</v>
      </c>
      <c r="AL40" s="112">
        <v>0.94023580159983644</v>
      </c>
      <c r="AM40" s="115">
        <f>'aij-UNIFAC (LLE)'!$D27*(1-LN(U40)-AG40)</f>
        <v>0.59401312916040727</v>
      </c>
      <c r="AN40" s="116">
        <f>'aij-UNIFAC (LLE)'!$D27*(1-LN(V40)-AH40)</f>
        <v>0.60652392783336095</v>
      </c>
      <c r="AO40" s="116">
        <f>'aij-UNIFAC (LLE)'!$D27*(1-LN(W40)-AI40)</f>
        <v>-1.3083638189520377</v>
      </c>
      <c r="AP40" s="116">
        <f>'aij-UNIFAC (LLE)'!$D27*(1-LN(X40)-AJ40)</f>
        <v>0.11084214722531643</v>
      </c>
      <c r="AQ40" s="116">
        <f>'aij-UNIFAC (LLE)'!$D27*(1-LN(Y40)-AK40)</f>
        <v>2.8327150974827133</v>
      </c>
      <c r="AR40" s="117">
        <f>'aij-UNIFAC (LLE)'!$D27*(1-LN(Z40)-AL40)</f>
        <v>0.35698970687498899</v>
      </c>
      <c r="AS40" s="5"/>
      <c r="AT40" s="5"/>
    </row>
    <row r="41" spans="1:46">
      <c r="A41" s="82" t="s">
        <v>141</v>
      </c>
      <c r="B41" s="83">
        <f>B21*SUM(B23:B40)</f>
        <v>6.9562467950858489</v>
      </c>
      <c r="C41" s="83">
        <f>C21*SUM(C23:C40)</f>
        <v>1.1120000834181549</v>
      </c>
      <c r="D41" s="83">
        <f>D21*SUM(D23:D40)</f>
        <v>8.8083679007636306E-2</v>
      </c>
      <c r="E41" s="83">
        <f>E21*SUM(E23:E40)</f>
        <v>7.0000000000000001E-20</v>
      </c>
      <c r="F41" s="83">
        <f>F21*SUM(F23:F40)</f>
        <v>9.9999999999999995E-21</v>
      </c>
      <c r="G41" s="83">
        <f>SUM(B41:F41)</f>
        <v>8.1563305575116409</v>
      </c>
      <c r="H41" s="118" t="s">
        <v>142</v>
      </c>
      <c r="I41" s="36">
        <f t="array" ref="I41">SUM(I23:I40*_QL)</f>
        <v>0.64755555555555555</v>
      </c>
      <c r="J41" s="36">
        <f t="array" ref="J41">SUM(J23:J40*_QL)</f>
        <v>0.53849999999999998</v>
      </c>
      <c r="K41" s="36">
        <f t="array" ref="K41">SUM(K23:K40*_QL)</f>
        <v>1.4</v>
      </c>
      <c r="L41" s="36">
        <f t="array" ref="L41">SUM(L23:L40*_QL)</f>
        <v>0.50114285714285722</v>
      </c>
      <c r="M41" s="36">
        <f t="array" ref="M41">SUM(M23:M40*_QL)</f>
        <v>0.84799999999999998</v>
      </c>
      <c r="N41" s="36">
        <f t="array" ref="N41">SUM(N23:N40*_QL)</f>
        <v>0.64081334328599249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143</v>
      </c>
      <c r="B42" s="119">
        <f>SUM(B23:B40)</f>
        <v>9</v>
      </c>
      <c r="C42" s="119">
        <f>SUM(C23:C40)</f>
        <v>8</v>
      </c>
      <c r="D42" s="119">
        <f>SUM(D23:D40)</f>
        <v>1</v>
      </c>
      <c r="E42" s="119">
        <f>SUM(E23:E40)</f>
        <v>7</v>
      </c>
      <c r="F42" s="119">
        <f>SUM(F23:F40)</f>
        <v>1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5.8280000000000003</v>
      </c>
      <c r="C44" s="58">
        <f t="array" ref="C44">SUM(C23:C40*_QL)</f>
        <v>4.3079999999999998</v>
      </c>
      <c r="D44" s="58">
        <f t="array" ref="D44">SUM(D23:D40*_QL)</f>
        <v>1.4</v>
      </c>
      <c r="E44" s="58">
        <f t="array" ref="E44">SUM(E23:E40*_QL)</f>
        <v>3.508</v>
      </c>
      <c r="F44" s="58">
        <f t="array" ref="F44">SUM(F23:F40*_QL)</f>
        <v>0.84799999999999998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6.6219000000000001</v>
      </c>
      <c r="C45" s="58">
        <f t="array" ref="C45">SUM(C23:C40*_RL)</f>
        <v>5.7798999999999996</v>
      </c>
      <c r="D45" s="58">
        <f t="array" ref="D45">SUM(D23:D40*_RL)</f>
        <v>0.92</v>
      </c>
      <c r="E45" s="58">
        <f t="array" ref="E45">SUM(E23:E40*_RL)</f>
        <v>4.5972</v>
      </c>
      <c r="F45" s="58">
        <f t="array" ref="F45">SUM(F23:F40*_RL)</f>
        <v>0.90110000000000001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144</v>
      </c>
      <c r="B46" s="58">
        <f>B21*B44/SUMPRODUCT($B44:$F44,$B21:$F21)</f>
        <v>0.86183802297742129</v>
      </c>
      <c r="C46" s="58">
        <f>C21*C44/SUMPRODUCT($B44:$F44,$B21:$F21)</f>
        <v>0.11456821923713524</v>
      </c>
      <c r="D46" s="58">
        <f>D21*D44/SUMPRODUCT($B44:$F44,$B21:$F21)</f>
        <v>2.3593757785443332E-2</v>
      </c>
      <c r="E46" s="58">
        <f>E21*E44/SUMPRODUCT($B44:$F44,$B21:$F21)</f>
        <v>6.7117105691671599E-21</v>
      </c>
      <c r="F46" s="58">
        <f>F21*F44/SUMPRODUCT($B44:$F44,$B21:$F21)</f>
        <v>1.622443147848846E-21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145</v>
      </c>
      <c r="B47" s="58">
        <f>B21*B45/SUMPRODUCT($B45:$F45,$B21:$F21)</f>
        <v>0.85265709149337643</v>
      </c>
      <c r="C47" s="58">
        <f>C21*C45/SUMPRODUCT($B45:$F45,$B21:$F21)</f>
        <v>0.13384263425101556</v>
      </c>
      <c r="D47" s="58">
        <f>D21*D45/SUMPRODUCT($B45:$F45,$B21:$F21)</f>
        <v>1.3500274255607979E-2</v>
      </c>
      <c r="E47" s="58">
        <f>E21*E45/SUMPRODUCT($B45:$F45,$B21:$F21)</f>
        <v>7.6586587035015639E-21</v>
      </c>
      <c r="F47" s="58">
        <f>F21*F45/SUMPRODUCT($B45:$F45,$B21:$F21)</f>
        <v>1.5011784037512526E-21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146</v>
      </c>
      <c r="B48" s="58">
        <f>LN(B47/B21)+(1-B47/B21)-5*B44*(LN(B47/B46)+(1-B47/B46))</f>
        <v>-3.3167747352351321E-3</v>
      </c>
      <c r="C48" s="58">
        <f>LN(C47/C21)+(1-C47/C21)-5*C44*(LN(C47/C46)+(1-C47/C46))</f>
        <v>0.27373477055707612</v>
      </c>
      <c r="D48" s="58">
        <f>LN(D47/D21)+(1-D47/D21)-5*D44*(LN(D47/D46)+(1-D47/D46))</f>
        <v>-0.11556043488328294</v>
      </c>
      <c r="E48" s="58">
        <f>LN(E47/E21)+(1-E47/E21)-5*E44*(LN(E47/E46)+(1-E47/E46))</f>
        <v>0.12710379181662607</v>
      </c>
      <c r="F48" s="58">
        <f>LN(F47/F21)+(1-F47/F21)-5*F44*(LN(F47/F46)+(1-F47/F46))</f>
        <v>-1.033984105912287</v>
      </c>
      <c r="G48" s="121"/>
      <c r="I48" s="122"/>
    </row>
    <row r="49" spans="1:7">
      <c r="A49" s="72" t="s">
        <v>147</v>
      </c>
      <c r="B49" s="58">
        <f t="array" ref="B49">SUM(B23:B35*AM23:AM35)</f>
        <v>2.1397520406422696</v>
      </c>
      <c r="C49" s="58">
        <f t="array" ref="C49">SUM(C23:C35*AN23:AN35)</f>
        <v>-8.2152787906144331E-2</v>
      </c>
      <c r="D49" s="58">
        <f t="array" ref="D49">SUM(D23:D35*AO23:AO35)</f>
        <v>0</v>
      </c>
      <c r="E49" s="58">
        <f t="array" ref="E49">SUM(E23:E35*AP23:AP35)</f>
        <v>-3.890077890700059E-2</v>
      </c>
      <c r="F49" s="58">
        <f t="array" ref="F49">SUM(F23:F35*AQ23:AQ35)</f>
        <v>0</v>
      </c>
      <c r="G49" s="121"/>
    </row>
    <row r="50" spans="1:7">
      <c r="A50" s="72" t="s">
        <v>148</v>
      </c>
      <c r="B50" s="58">
        <f t="array" ref="B50">SUM(B23:B35*$AR23:$AR35)</f>
        <v>2.1327511657903502</v>
      </c>
      <c r="C50" s="58">
        <f t="array" ref="C50">SUM(C23:C35*$AR23:$AR35)</f>
        <v>0.41108465269692007</v>
      </c>
      <c r="D50" s="58">
        <f t="array" ref="D50">SUM(D23:D35*$AR23:$AR35)</f>
        <v>1.848690621569099</v>
      </c>
      <c r="E50" s="58">
        <f t="array" ref="E50">SUM(E23:E35*$AR23:$AR35)</f>
        <v>0.327824272767194</v>
      </c>
      <c r="F50" s="58">
        <f t="array" ref="F50">SUM(F23:F35*$AR23:$AR35)</f>
        <v>0.13623596969144533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177</v>
      </c>
      <c r="K1"/>
    </row>
    <row r="2" spans="1:23">
      <c r="A2" s="123" t="s">
        <v>151</v>
      </c>
      <c r="K2"/>
    </row>
    <row r="3" spans="1:23" s="123" customFormat="1" ht="12">
      <c r="A3" s="123" t="s">
        <v>178</v>
      </c>
      <c r="K3"/>
    </row>
    <row r="4" spans="1:23" s="123" customFormat="1" ht="12">
      <c r="A4" s="123" t="s">
        <v>152</v>
      </c>
      <c r="K4"/>
    </row>
    <row r="5" spans="1:23" s="123" customFormat="1" ht="12">
      <c r="A5" s="123" t="s">
        <v>153</v>
      </c>
      <c r="J5" s="123" t="s">
        <v>179</v>
      </c>
      <c r="K5"/>
    </row>
    <row r="6" spans="1:23" s="123" customFormat="1" ht="12">
      <c r="A6" s="5" t="s">
        <v>154</v>
      </c>
      <c r="B6" s="123">
        <f>'UNIFAC (LLEa)'!B11</f>
        <v>25</v>
      </c>
      <c r="C6" s="123" t="s">
        <v>127</v>
      </c>
      <c r="J6" s="139" t="s">
        <v>180</v>
      </c>
      <c r="K6"/>
    </row>
    <row r="7" spans="1:23">
      <c r="B7"/>
      <c r="C7"/>
      <c r="D7" s="43"/>
      <c r="E7" s="124" t="s">
        <v>155</v>
      </c>
      <c r="F7" s="43"/>
      <c r="G7" s="43"/>
      <c r="H7" s="43"/>
      <c r="I7" s="148" t="s">
        <v>181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156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157</v>
      </c>
      <c r="B9"/>
      <c r="C9" s="125" t="s">
        <v>158</v>
      </c>
      <c r="D9" s="125" t="s">
        <v>133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159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160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161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162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163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164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165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243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167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168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169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170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173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171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182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183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174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172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175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A9" sqref="A9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184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185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186</v>
      </c>
      <c r="C3" s="45" t="s">
        <v>187</v>
      </c>
      <c r="D3" s="45" t="s">
        <v>188</v>
      </c>
      <c r="E3" s="45" t="s">
        <v>189</v>
      </c>
      <c r="F3" s="45" t="s">
        <v>190</v>
      </c>
      <c r="G3" s="4"/>
      <c r="H3" s="5" t="s">
        <v>191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222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2017-04-12T11:33:09Z</dcterms:modified>
</cp:coreProperties>
</file>